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空港気象レーダー諸元（気象庁HPより）" sheetId="2" r:id="rId2"/>
  </sheets>
  <definedNames>
    <definedName name="_xlnm.Print_Area" localSheetId="0">'Sheet1'!$A$1:$S$32</definedName>
  </definedNames>
  <calcPr fullCalcOnLoad="1"/>
</workbook>
</file>

<file path=xl/sharedStrings.xml><?xml version="1.0" encoding="utf-8"?>
<sst xmlns="http://schemas.openxmlformats.org/spreadsheetml/2006/main" count="102" uniqueCount="46">
  <si>
    <t>北緯</t>
  </si>
  <si>
    <t>度</t>
  </si>
  <si>
    <t>分</t>
  </si>
  <si>
    <t>秒</t>
  </si>
  <si>
    <t>東経</t>
  </si>
  <si>
    <t>①③間距離</t>
  </si>
  <si>
    <t>①②間距離</t>
  </si>
  <si>
    <t>①・④間距離</t>
  </si>
  <si>
    <t>km</t>
  </si>
  <si>
    <t>度</t>
  </si>
  <si>
    <t>計算用</t>
  </si>
  <si>
    <t>黄色箇所に値を入力</t>
  </si>
  <si>
    <t>判定</t>
  </si>
  <si>
    <t>②　中部国際空港気象レーダー（設置場所緯度経度）</t>
  </si>
  <si>
    <t>③　大阪国際（伊丹）空港気象レーダー（設置場所緯度経度）</t>
  </si>
  <si>
    <t>④　福岡空港気象レーダー（設置場所緯度経度）</t>
  </si>
  <si>
    <t>※ 登録局からみたレーダーの方向</t>
  </si>
  <si>
    <t>①→②方位※（D2）</t>
  </si>
  <si>
    <t>①→③方位※（D2）</t>
  </si>
  <si>
    <t>①→④方位※（D2）</t>
  </si>
  <si>
    <t>m</t>
  </si>
  <si>
    <t>空中線海抜高</t>
  </si>
  <si>
    <t>度</t>
  </si>
  <si>
    <t>度（水平を0度とし、仰角を正数、俯角を負数とする。）</t>
  </si>
  <si>
    <t>空中線の指向方向
（水平面）（D１）</t>
  </si>
  <si>
    <t>度（真北を0度とし、時計回りとする。（90度が東））</t>
  </si>
  <si>
    <t>空中線の指向方向
（垂直面）（d１）</t>
  </si>
  <si>
    <t>①→②仰角（ｄ２）</t>
  </si>
  <si>
    <t>総合判定</t>
  </si>
  <si>
    <t>dBi</t>
  </si>
  <si>
    <t>空中線電力</t>
  </si>
  <si>
    <t>mW</t>
  </si>
  <si>
    <t>①のEIRP</t>
  </si>
  <si>
    <t>三重県桑名市での開設</t>
  </si>
  <si>
    <t>←桑名市の場合は１、それ以外の場合は０</t>
  </si>
  <si>
    <t>①→③仰角（ｄ２）</t>
  </si>
  <si>
    <t>①→④仰角（ｄ２）</t>
  </si>
  <si>
    <t>D1との角度差</t>
  </si>
  <si>
    <t>ｄ１との角度差</t>
  </si>
  <si>
    <t>空中線利得（最大）</t>
  </si>
  <si>
    <t>EIRP</t>
  </si>
  <si>
    <t>mW</t>
  </si>
  <si>
    <t>①　5.2GHz帯高出力データ通信システム登録局</t>
  </si>
  <si>
    <t>空中線の主輻射の半値角（水平面）※</t>
  </si>
  <si>
    <t>空中線の主輻射の半値角（垂直面）※</t>
  </si>
  <si>
    <t>※　空中線の主輻射の半値角が不明な場合又は無指向性の場合は、当該半値角は360を入力する。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</si>
</sst>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4"/>
      <color theme="1"/>
      <name val="Calibri"/>
      <family val="3"/>
    </font>
    <font>
      <sz val="11"/>
      <color rgb="FF0000FF"/>
      <name val="Calibri"/>
      <family val="3"/>
    </font>
    <font>
      <b/>
      <sz val="1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rgb="FFFF0000"/>
      </top>
      <bottom/>
    </border>
    <border>
      <left style="thin"/>
      <right style="thin"/>
      <top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24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28575</xdr:rowOff>
    </xdr:from>
    <xdr:to>
      <xdr:col>11</xdr:col>
      <xdr:colOff>485775</xdr:colOff>
      <xdr:row>13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14300" y="2124075"/>
          <a:ext cx="7077075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15</xdr:row>
      <xdr:rowOff>9525</xdr:rowOff>
    </xdr:from>
    <xdr:to>
      <xdr:col>11</xdr:col>
      <xdr:colOff>485775</xdr:colOff>
      <xdr:row>16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114300" y="2867025"/>
          <a:ext cx="7077075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17</xdr:row>
      <xdr:rowOff>0</xdr:rowOff>
    </xdr:from>
    <xdr:to>
      <xdr:col>11</xdr:col>
      <xdr:colOff>476250</xdr:colOff>
      <xdr:row>18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104775" y="3238500"/>
          <a:ext cx="7077075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32"/>
  <sheetViews>
    <sheetView tabSelected="1" view="pageBreakPreview" zoomScale="60" zoomScaleNormal="55" zoomScalePageLayoutView="70" workbookViewId="0" topLeftCell="A1">
      <selection activeCell="N28" sqref="N28"/>
    </sheetView>
  </sheetViews>
  <sheetFormatPr defaultColWidth="8.7109375" defaultRowHeight="15"/>
  <cols>
    <col min="1" max="2" width="8.7109375" style="1" customWidth="1"/>
    <col min="3" max="3" width="3.8515625" style="1" customWidth="1"/>
    <col min="4" max="4" width="8.7109375" style="1" customWidth="1"/>
    <col min="5" max="5" width="3.8515625" style="1" customWidth="1"/>
    <col min="6" max="6" width="12.00390625" style="1" bestFit="1" customWidth="1"/>
    <col min="7" max="7" width="3.8515625" style="1" customWidth="1"/>
    <col min="8" max="8" width="18.8515625" style="1" customWidth="1"/>
    <col min="9" max="9" width="7.421875" style="1" customWidth="1"/>
    <col min="10" max="10" width="10.00390625" style="1" customWidth="1"/>
    <col min="11" max="11" width="17.8515625" style="1" customWidth="1"/>
    <col min="12" max="12" width="8.7109375" style="1" customWidth="1"/>
    <col min="13" max="13" width="5.140625" style="1" customWidth="1"/>
    <col min="14" max="14" width="14.140625" style="1" customWidth="1"/>
    <col min="15" max="15" width="8.7109375" style="1" customWidth="1"/>
    <col min="16" max="16" width="9.421875" style="1" customWidth="1"/>
    <col min="17" max="17" width="8.7109375" style="1" customWidth="1"/>
    <col min="18" max="18" width="10.00390625" style="1" customWidth="1"/>
    <col min="19" max="20" width="8.7109375" style="1" customWidth="1"/>
    <col min="21" max="21" width="8.140625" style="1" customWidth="1"/>
    <col min="22" max="23" width="5.8515625" style="1" customWidth="1"/>
    <col min="24" max="16384" width="8.7109375" style="1" customWidth="1"/>
  </cols>
  <sheetData>
    <row r="4" spans="2:11" ht="13.5">
      <c r="B4" s="17" t="s">
        <v>11</v>
      </c>
      <c r="C4" s="17"/>
      <c r="D4" s="17"/>
      <c r="K4" s="10" t="s">
        <v>45</v>
      </c>
    </row>
    <row r="6" spans="1:21" ht="13.5">
      <c r="A6" s="4" t="s">
        <v>42</v>
      </c>
      <c r="U6" s="1" t="s">
        <v>10</v>
      </c>
    </row>
    <row r="7" spans="1:23" ht="26.25" customHeight="1">
      <c r="A7" s="5" t="s">
        <v>0</v>
      </c>
      <c r="B7" s="12"/>
      <c r="C7" s="5" t="s">
        <v>1</v>
      </c>
      <c r="D7" s="12"/>
      <c r="E7" s="5" t="s">
        <v>2</v>
      </c>
      <c r="F7" s="12"/>
      <c r="G7" s="5" t="s">
        <v>3</v>
      </c>
      <c r="H7" s="5" t="s">
        <v>30</v>
      </c>
      <c r="I7" s="12"/>
      <c r="J7" s="5" t="s">
        <v>31</v>
      </c>
      <c r="K7" s="7" t="s">
        <v>40</v>
      </c>
      <c r="L7" s="7">
        <f>ROUND($I$7*10^($I$8/10),1)</f>
        <v>0</v>
      </c>
      <c r="M7" s="5" t="s">
        <v>41</v>
      </c>
      <c r="V7" s="3">
        <f>B7+D7/60+F7/3600</f>
        <v>0</v>
      </c>
      <c r="W7" s="2">
        <f>(B7+D7/60+F7/3600)*PI()/180</f>
        <v>0</v>
      </c>
    </row>
    <row r="8" spans="1:23" ht="26.25" customHeight="1">
      <c r="A8" s="5" t="s">
        <v>4</v>
      </c>
      <c r="B8" s="12"/>
      <c r="C8" s="5" t="s">
        <v>1</v>
      </c>
      <c r="D8" s="12"/>
      <c r="E8" s="5" t="s">
        <v>2</v>
      </c>
      <c r="F8" s="12"/>
      <c r="G8" s="5" t="s">
        <v>3</v>
      </c>
      <c r="H8" s="5" t="s">
        <v>39</v>
      </c>
      <c r="I8" s="13"/>
      <c r="J8" s="1" t="s">
        <v>29</v>
      </c>
      <c r="V8" s="3">
        <f>B8+D8/60+F8/3600</f>
        <v>0</v>
      </c>
      <c r="W8" s="2">
        <f>(B8+D8/60+F8/3600)*PI()/180</f>
        <v>0</v>
      </c>
    </row>
    <row r="9" spans="3:23" ht="30" customHeight="1">
      <c r="C9" s="18" t="s">
        <v>43</v>
      </c>
      <c r="D9" s="19"/>
      <c r="E9" s="19"/>
      <c r="F9" s="12"/>
      <c r="G9" s="5" t="s">
        <v>22</v>
      </c>
      <c r="H9" s="7" t="s">
        <v>24</v>
      </c>
      <c r="I9" s="12"/>
      <c r="J9" s="1" t="s">
        <v>25</v>
      </c>
      <c r="V9" s="3"/>
      <c r="W9" s="2"/>
    </row>
    <row r="10" spans="3:23" ht="30" customHeight="1">
      <c r="C10" s="18" t="s">
        <v>44</v>
      </c>
      <c r="D10" s="19"/>
      <c r="E10" s="19"/>
      <c r="F10" s="12"/>
      <c r="G10" s="5" t="s">
        <v>22</v>
      </c>
      <c r="H10" s="7" t="s">
        <v>26</v>
      </c>
      <c r="I10" s="12"/>
      <c r="J10" s="1" t="s">
        <v>23</v>
      </c>
      <c r="V10" s="3"/>
      <c r="W10" s="2"/>
    </row>
    <row r="11" spans="3:22" s="2" customFormat="1" ht="26.25" customHeight="1">
      <c r="C11" s="20" t="s">
        <v>21</v>
      </c>
      <c r="D11" s="20"/>
      <c r="E11" s="20"/>
      <c r="F11" s="12"/>
      <c r="G11" s="7" t="s">
        <v>20</v>
      </c>
      <c r="H11" s="7" t="s">
        <v>33</v>
      </c>
      <c r="I11" s="12"/>
      <c r="J11" s="2" t="s">
        <v>34</v>
      </c>
      <c r="V11" s="8"/>
    </row>
    <row r="12" spans="2:23" ht="28.5" customHeight="1">
      <c r="B12" s="2"/>
      <c r="C12" s="2"/>
      <c r="D12" s="2"/>
      <c r="E12" s="2"/>
      <c r="F12" s="2"/>
      <c r="G12" s="2"/>
      <c r="H12" s="2"/>
      <c r="I12" s="2"/>
      <c r="J12" s="2"/>
      <c r="V12" s="3"/>
      <c r="W12" s="2"/>
    </row>
    <row r="13" spans="17:18" ht="14.25" thickBot="1">
      <c r="Q13" s="4" t="s">
        <v>12</v>
      </c>
      <c r="R13" s="4" t="s">
        <v>28</v>
      </c>
    </row>
    <row r="14" spans="1:19" ht="18" thickTop="1">
      <c r="A14" s="1" t="s">
        <v>13</v>
      </c>
      <c r="K14" s="1" t="s">
        <v>6</v>
      </c>
      <c r="L14" s="1">
        <f>ROUND(6378.137*ACOS((SIN($W$7)*SIN(W15)+COS($W$7)*COS(W15)*COS(W16-$W$8))),1)</f>
        <v>14108</v>
      </c>
      <c r="M14" s="1" t="s">
        <v>8</v>
      </c>
      <c r="Q14" s="9" t="str">
        <f>IF(L14&gt;=36,"○",IF(L14&lt;18,"×","△"))</f>
        <v>○</v>
      </c>
      <c r="R14" s="14" t="str">
        <f>IF(OR(Q14="×",Q15="×"),"×",IF(OR(Q15="○",Q16="○",Q17="○"),"○","×"))</f>
        <v>○</v>
      </c>
      <c r="S14" s="2"/>
    </row>
    <row r="15" spans="1:23" ht="17.25">
      <c r="A15" s="1" t="s">
        <v>0</v>
      </c>
      <c r="B15" s="1">
        <v>34</v>
      </c>
      <c r="C15" s="1" t="s">
        <v>1</v>
      </c>
      <c r="D15" s="1">
        <v>52</v>
      </c>
      <c r="E15" s="1" t="s">
        <v>2</v>
      </c>
      <c r="F15" s="1">
        <v>35</v>
      </c>
      <c r="G15" s="1" t="s">
        <v>3</v>
      </c>
      <c r="H15" s="2" t="s">
        <v>21</v>
      </c>
      <c r="I15" s="2">
        <v>42.2</v>
      </c>
      <c r="J15" s="6" t="s">
        <v>20</v>
      </c>
      <c r="K15" s="1" t="s">
        <v>32</v>
      </c>
      <c r="L15" s="1">
        <f>ROUND($I$7*10^($I$8/10),1)</f>
        <v>0</v>
      </c>
      <c r="M15" s="1" t="s">
        <v>31</v>
      </c>
      <c r="Q15" s="9" t="str">
        <f>IF(L15&gt;200,IF(I11=0,"△","×"),"○")</f>
        <v>○</v>
      </c>
      <c r="R15" s="15"/>
      <c r="S15" s="2"/>
      <c r="V15" s="3">
        <f>B15+D15/60+F15/3600</f>
        <v>34.87638888888889</v>
      </c>
      <c r="W15" s="2">
        <f>(B15+D15/60+F15/3600)*PI()/180</f>
        <v>0.6087078173170779</v>
      </c>
    </row>
    <row r="16" spans="1:26" ht="17.25">
      <c r="A16" s="1" t="s">
        <v>4</v>
      </c>
      <c r="B16" s="1">
        <v>136</v>
      </c>
      <c r="C16" s="1" t="s">
        <v>1</v>
      </c>
      <c r="D16" s="1">
        <v>48</v>
      </c>
      <c r="E16" s="1" t="s">
        <v>2</v>
      </c>
      <c r="F16" s="1">
        <v>27</v>
      </c>
      <c r="G16" s="1" t="s">
        <v>3</v>
      </c>
      <c r="H16" s="2"/>
      <c r="I16" s="2"/>
      <c r="J16" s="2"/>
      <c r="K16" s="1" t="s">
        <v>17</v>
      </c>
      <c r="L16" s="1">
        <f>ROUND(IF(U16&gt;=0,U16,360+U16),1)</f>
        <v>44.5</v>
      </c>
      <c r="M16" s="1" t="s">
        <v>1</v>
      </c>
      <c r="N16" s="1" t="s">
        <v>37</v>
      </c>
      <c r="O16" s="1">
        <f>IF(ROUND(ABS($I$9-L16),1)&lt;=180,ROUND(ABS($I$9-L16),1),360-ROUND(ABS($I$9-L16),1))</f>
        <v>44.5</v>
      </c>
      <c r="P16" s="1" t="s">
        <v>9</v>
      </c>
      <c r="Q16" s="9" t="str">
        <f>IF(O16&gt;$F$9/2,"○","×")</f>
        <v>○</v>
      </c>
      <c r="R16" s="15"/>
      <c r="S16" s="2"/>
      <c r="U16" s="1">
        <f>90-ATAN2(SIN((V16-V8)*PI()/180),COS(V7*PI()/180)*TAN(V15*PI()/180)-SIN(V7*PI()/180)*COS((V16-V8)*PI()/180))*180/PI()</f>
        <v>44.47968713708212</v>
      </c>
      <c r="V16" s="3">
        <f>B16+D16/60+F16/3600</f>
        <v>136.8075</v>
      </c>
      <c r="W16" s="2">
        <f>(B16+D16/60+F16/3600)*PI()/180</f>
        <v>2.3877413164221424</v>
      </c>
      <c r="Y16" s="1">
        <f>COS(V7*PI()/180)*TAN(V15*PI()/180)-SIN(V7*PI()/180)*COS((V16-V8)*PI()/180)</f>
        <v>0.6969971988518453</v>
      </c>
      <c r="Z16" s="1">
        <f>SIN((V16-V8)*PI()/180)</f>
        <v>0.6844516782940046</v>
      </c>
    </row>
    <row r="17" spans="8:19" ht="12.75" customHeight="1" thickBot="1">
      <c r="H17" s="2"/>
      <c r="I17" s="2"/>
      <c r="J17" s="2"/>
      <c r="K17" s="1" t="s">
        <v>27</v>
      </c>
      <c r="L17" s="1">
        <f>ROUND(ATAN((I15-$F$11)/(L14*1000))*180/PI(),1)</f>
        <v>0</v>
      </c>
      <c r="M17" s="1" t="s">
        <v>1</v>
      </c>
      <c r="N17" s="1" t="s">
        <v>38</v>
      </c>
      <c r="O17" s="1">
        <f>ROUND(ABS($I$10-L17),1)</f>
        <v>0</v>
      </c>
      <c r="P17" s="1" t="s">
        <v>1</v>
      </c>
      <c r="Q17" s="9" t="str">
        <f>IF(O17&gt;$F$10/2,"○","×")</f>
        <v>×</v>
      </c>
      <c r="R17" s="16"/>
      <c r="S17" s="2"/>
    </row>
    <row r="18" spans="8:19" ht="14.25" thickTop="1">
      <c r="H18" s="2"/>
      <c r="I18" s="2"/>
      <c r="J18" s="2"/>
      <c r="Q18" s="2"/>
      <c r="R18" s="2"/>
      <c r="S18" s="2"/>
    </row>
    <row r="19" spans="1:19" ht="18" thickBot="1">
      <c r="A19" s="1" t="s">
        <v>14</v>
      </c>
      <c r="H19" s="2"/>
      <c r="I19" s="2"/>
      <c r="J19" s="2"/>
      <c r="Q19" s="9"/>
      <c r="R19" s="2"/>
      <c r="S19" s="2"/>
    </row>
    <row r="20" spans="1:23" ht="18" thickTop="1">
      <c r="A20" s="1" t="s">
        <v>0</v>
      </c>
      <c r="B20" s="1">
        <v>34</v>
      </c>
      <c r="C20" s="1" t="s">
        <v>1</v>
      </c>
      <c r="D20" s="1">
        <v>47</v>
      </c>
      <c r="E20" s="1" t="s">
        <v>2</v>
      </c>
      <c r="F20" s="1">
        <v>48</v>
      </c>
      <c r="G20" s="1" t="s">
        <v>3</v>
      </c>
      <c r="H20" s="2" t="s">
        <v>21</v>
      </c>
      <c r="I20" s="2">
        <v>51.4</v>
      </c>
      <c r="J20" s="6" t="s">
        <v>20</v>
      </c>
      <c r="K20" s="1" t="s">
        <v>5</v>
      </c>
      <c r="L20" s="1">
        <f>ROUND(6378.137*ACOS((SIN($W$7)*SIN(W20)+COS($W$7)*COS(W20)*COS(W21-$W$8))),1)</f>
        <v>14004.8</v>
      </c>
      <c r="M20" s="1" t="s">
        <v>8</v>
      </c>
      <c r="Q20" s="9" t="str">
        <f>IF(L20&gt;=36,"○",IF(L20&lt;18,"×","△"))</f>
        <v>○</v>
      </c>
      <c r="R20" s="14" t="str">
        <f>IF(Q20="×","×",IF(Q20="○","○",IF(OR(Q21="○",Q22="○",Q23="○"),"○","×")))</f>
        <v>○</v>
      </c>
      <c r="S20" s="2"/>
      <c r="V20" s="3">
        <f>B20+D20/60+F20/3600</f>
        <v>34.79666666666667</v>
      </c>
      <c r="W20" s="2">
        <f>(B20+D20/60+F20/3600)*PI()/180</f>
        <v>0.6073164020522935</v>
      </c>
    </row>
    <row r="21" spans="1:26" ht="17.25">
      <c r="A21" s="1" t="s">
        <v>4</v>
      </c>
      <c r="B21" s="1">
        <v>135</v>
      </c>
      <c r="C21" s="1" t="s">
        <v>1</v>
      </c>
      <c r="D21" s="1">
        <v>26</v>
      </c>
      <c r="E21" s="1" t="s">
        <v>2</v>
      </c>
      <c r="F21" s="1">
        <v>10</v>
      </c>
      <c r="G21" s="1" t="s">
        <v>3</v>
      </c>
      <c r="H21" s="2"/>
      <c r="I21" s="2"/>
      <c r="J21" s="2"/>
      <c r="K21" s="1" t="s">
        <v>32</v>
      </c>
      <c r="L21" s="1">
        <f>ROUND($I$7*10^($I$8/10),1)</f>
        <v>0</v>
      </c>
      <c r="M21" s="1" t="s">
        <v>31</v>
      </c>
      <c r="Q21" s="9" t="str">
        <f>IF(L21&gt;200,"△","○")</f>
        <v>○</v>
      </c>
      <c r="R21" s="15"/>
      <c r="S21" s="2"/>
      <c r="U21" s="1">
        <f>90-ATAN2(SIN((V21-V8)*PI()/180),COS(V7*PI()/180)*TAN(V20*PI()/180)-SIN(V7*PI()/180)*COS((V21-V8)*PI()/180))*180/PI()</f>
        <v>45.277826578559235</v>
      </c>
      <c r="V21" s="3">
        <f>B21+D21/60+F21/3600</f>
        <v>135.4361111111111</v>
      </c>
      <c r="W21" s="2">
        <f>(B21+D21/60+F21/3600)*PI()/180</f>
        <v>2.3638060649857646</v>
      </c>
      <c r="Y21" s="1">
        <f>COS(V7*PI()/180)*TAN(V20*PI()/180)-SIN(V7*PI()/180)*COS((V21-V8)*PI()/180)</f>
        <v>0.6949318286509267</v>
      </c>
      <c r="Z21" s="1">
        <f>SIN((V21-V8)*PI()/180)</f>
        <v>0.7017041536096235</v>
      </c>
    </row>
    <row r="22" spans="8:19" ht="17.25">
      <c r="H22" s="2"/>
      <c r="I22" s="2"/>
      <c r="J22" s="2"/>
      <c r="K22" s="1" t="s">
        <v>18</v>
      </c>
      <c r="L22" s="1">
        <f>ROUND(IF(U21&gt;=0,U21,360+U21),1)</f>
        <v>45.3</v>
      </c>
      <c r="M22" s="1" t="s">
        <v>1</v>
      </c>
      <c r="N22" s="1" t="s">
        <v>37</v>
      </c>
      <c r="O22" s="1">
        <f>IF(ROUND(ABS($I$9-L22),1)&lt;=180,ROUND(ABS($I$9-L22),1),360-ROUND(ABS($I$9-L22),1))</f>
        <v>45.3</v>
      </c>
      <c r="P22" s="1" t="s">
        <v>9</v>
      </c>
      <c r="Q22" s="9" t="str">
        <f>IF(O22&gt;$F$9/2,"○","×")</f>
        <v>○</v>
      </c>
      <c r="R22" s="15"/>
      <c r="S22" s="2"/>
    </row>
    <row r="23" spans="8:19" ht="18" thickBot="1">
      <c r="H23" s="2"/>
      <c r="I23" s="2"/>
      <c r="J23" s="2"/>
      <c r="K23" s="1" t="s">
        <v>35</v>
      </c>
      <c r="L23" s="1">
        <f>ROUND(ATAN((I20-$F$11)/(L20*1000))*180/PI(),1)</f>
        <v>0</v>
      </c>
      <c r="M23" s="1" t="s">
        <v>1</v>
      </c>
      <c r="N23" s="1" t="s">
        <v>38</v>
      </c>
      <c r="O23" s="1">
        <f>ROUND(ABS($I$10-L23),1)</f>
        <v>0</v>
      </c>
      <c r="P23" s="1" t="s">
        <v>1</v>
      </c>
      <c r="Q23" s="9" t="str">
        <f>IF(O23&gt;$F$10/2,"○","×")</f>
        <v>×</v>
      </c>
      <c r="R23" s="16"/>
      <c r="S23" s="2"/>
    </row>
    <row r="24" spans="8:19" ht="14.25" thickTop="1">
      <c r="H24" s="2"/>
      <c r="I24" s="2"/>
      <c r="J24" s="2"/>
      <c r="R24" s="2"/>
      <c r="S24" s="2"/>
    </row>
    <row r="25" spans="1:19" ht="18" thickBot="1">
      <c r="A25" s="1" t="s">
        <v>15</v>
      </c>
      <c r="H25" s="2"/>
      <c r="I25" s="2"/>
      <c r="J25" s="2"/>
      <c r="Q25" s="9"/>
      <c r="R25" s="2"/>
      <c r="S25" s="2"/>
    </row>
    <row r="26" spans="1:23" ht="18" thickTop="1">
      <c r="A26" s="1" t="s">
        <v>0</v>
      </c>
      <c r="B26" s="1">
        <v>33</v>
      </c>
      <c r="C26" s="1" t="s">
        <v>1</v>
      </c>
      <c r="D26" s="1">
        <v>35</v>
      </c>
      <c r="E26" s="1" t="s">
        <v>2</v>
      </c>
      <c r="F26" s="1">
        <v>7</v>
      </c>
      <c r="G26" s="1" t="s">
        <v>3</v>
      </c>
      <c r="H26" s="2" t="s">
        <v>21</v>
      </c>
      <c r="I26" s="2">
        <v>48.4</v>
      </c>
      <c r="J26" s="6" t="s">
        <v>20</v>
      </c>
      <c r="K26" s="1" t="s">
        <v>7</v>
      </c>
      <c r="L26" s="1">
        <f>ROUND(6378.137*ACOS((SIN($W$7)*SIN(W26)+COS($W$7)*COS(W26)*COS(W27-$W$8))),1)</f>
        <v>13660</v>
      </c>
      <c r="M26" s="1" t="s">
        <v>8</v>
      </c>
      <c r="Q26" s="9" t="str">
        <f>IF(L26&gt;=36,"○",IF(L26&lt;18,"×","△"))</f>
        <v>○</v>
      </c>
      <c r="R26" s="14" t="str">
        <f>IF(Q26="×","×",IF(Q26="○","○",IF(OR(Q27="○",Q28="○",Q29="○"),"○","×")))</f>
        <v>○</v>
      </c>
      <c r="S26" s="2"/>
      <c r="V26" s="3">
        <f>B26+D26/60+F26/3600</f>
        <v>33.58527777777778</v>
      </c>
      <c r="W26" s="2">
        <f>(B26+D26/60+F26/3600)*PI()/180</f>
        <v>0.5861736774191068</v>
      </c>
    </row>
    <row r="27" spans="1:26" ht="17.25">
      <c r="A27" s="1" t="s">
        <v>4</v>
      </c>
      <c r="B27" s="1">
        <v>130</v>
      </c>
      <c r="C27" s="1" t="s">
        <v>1</v>
      </c>
      <c r="D27" s="1">
        <v>26</v>
      </c>
      <c r="E27" s="1" t="s">
        <v>2</v>
      </c>
      <c r="F27" s="1">
        <v>31</v>
      </c>
      <c r="G27" s="1" t="s">
        <v>3</v>
      </c>
      <c r="K27" s="1" t="s">
        <v>32</v>
      </c>
      <c r="L27" s="1">
        <f>ROUND($I$7*10^($I$8/10),1)</f>
        <v>0</v>
      </c>
      <c r="M27" s="1" t="s">
        <v>31</v>
      </c>
      <c r="Q27" s="9" t="str">
        <f>IF(L27&gt;200,"△","○")</f>
        <v>○</v>
      </c>
      <c r="R27" s="15"/>
      <c r="S27" s="2"/>
      <c r="U27" s="1">
        <f>90-ATAN2(SIN((V27-V8)*PI()/180),COS(V7*PI()/180)*TAN(V26*PI()/180)-SIN(V7*PI()/180)*COS((V27-V8)*PI()/180))*180/PI()</f>
        <v>48.89529889394084</v>
      </c>
      <c r="V27" s="3">
        <f>B27+D27/60+F27/3600</f>
        <v>130.44194444444446</v>
      </c>
      <c r="W27" s="2">
        <f>(B27+D27/60+F27/3600)*PI()/180</f>
        <v>2.2766414132590813</v>
      </c>
      <c r="Y27" s="1">
        <f>COS(V7*PI()/180)*TAN(V26*PI()/180)-SIN(V7*PI()/180)*COS((V27-V8)*PI()/180)</f>
        <v>0.6640280987030609</v>
      </c>
      <c r="Z27" s="1">
        <f>SIN((V27-V8)*PI()/180)</f>
        <v>0.7610636352490969</v>
      </c>
    </row>
    <row r="28" spans="11:19" ht="17.25">
      <c r="K28" s="1" t="s">
        <v>19</v>
      </c>
      <c r="L28" s="1">
        <f>ROUND(IF(U27&gt;=0,U27,360+U27),1)</f>
        <v>48.9</v>
      </c>
      <c r="M28" s="1" t="s">
        <v>1</v>
      </c>
      <c r="N28" s="1" t="s">
        <v>37</v>
      </c>
      <c r="O28" s="1">
        <f>IF(ROUND(ABS($I$9-L28),1)&lt;=180,ROUND(ABS($I$9-L28),1),360-ROUND(ABS($I$9-L28),1))</f>
        <v>48.9</v>
      </c>
      <c r="P28" s="1" t="s">
        <v>1</v>
      </c>
      <c r="Q28" s="9" t="str">
        <f>IF(O28&gt;$F$9/2,"○","×")</f>
        <v>○</v>
      </c>
      <c r="R28" s="15"/>
      <c r="S28" s="2"/>
    </row>
    <row r="29" spans="11:19" ht="18" thickBot="1">
      <c r="K29" s="1" t="s">
        <v>36</v>
      </c>
      <c r="L29" s="1">
        <f>ROUND(ATAN((I26-$F$11)/(L26*1000))*180/PI(),1)</f>
        <v>0</v>
      </c>
      <c r="M29" s="1" t="s">
        <v>1</v>
      </c>
      <c r="N29" s="1" t="s">
        <v>38</v>
      </c>
      <c r="O29" s="1">
        <f>ROUND(ABS($I$10-L29),1)</f>
        <v>0</v>
      </c>
      <c r="P29" s="1" t="s">
        <v>1</v>
      </c>
      <c r="Q29" s="9" t="str">
        <f>IF(O29&gt;$F$10/2,"○","×")</f>
        <v>×</v>
      </c>
      <c r="R29" s="16"/>
      <c r="S29" s="2"/>
    </row>
    <row r="30" ht="14.25" thickTop="1">
      <c r="N30" s="11"/>
    </row>
    <row r="32" ht="13.5">
      <c r="K32" s="1" t="s">
        <v>16</v>
      </c>
    </row>
  </sheetData>
  <sheetProtection sheet="1" objects="1" scenarios="1"/>
  <mergeCells count="7">
    <mergeCell ref="R20:R23"/>
    <mergeCell ref="R26:R29"/>
    <mergeCell ref="B4:D4"/>
    <mergeCell ref="C9:E9"/>
    <mergeCell ref="C10:E10"/>
    <mergeCell ref="C11:E11"/>
    <mergeCell ref="R14:R17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2018-07-13T04:32:38Z</dcterms:modified>
  <cp:category/>
  <cp:version/>
  <cp:contentType/>
  <cp:contentStatus/>
</cp:coreProperties>
</file>