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570" windowHeight="8010"/>
  </bookViews>
  <sheets>
    <sheet name="国際調整値比較表" sheetId="2" r:id="rId1"/>
    <sheet name="記入例" sheetId="8" r:id="rId2"/>
    <sheet name="計算用シート" sheetId="1" state="hidden" r:id="rId3"/>
  </sheets>
  <definedNames>
    <definedName name="_xlnm.Print_Area" localSheetId="1">記入例!$B$2:$AT$24</definedName>
    <definedName name="_xlnm.Print_Area" localSheetId="0">国際調整値比較表!$B$1:$AV$23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1" i="2" l="1"/>
  <c r="G8" i="2"/>
  <c r="H8" i="2" s="1"/>
  <c r="G9" i="2"/>
  <c r="H9" i="2" s="1"/>
  <c r="G10" i="2"/>
  <c r="H10" i="2" s="1"/>
  <c r="AV20" i="2"/>
  <c r="AV19" i="2"/>
  <c r="AV18" i="2"/>
  <c r="AV9" i="2"/>
  <c r="AL8" i="2"/>
  <c r="AT8" i="2" s="1"/>
  <c r="AV8" i="2"/>
  <c r="AV11" i="2"/>
  <c r="AV10" i="2"/>
  <c r="AU21" i="2"/>
  <c r="AU20" i="2"/>
  <c r="AU19" i="2"/>
  <c r="AU18" i="2"/>
  <c r="AB8" i="2"/>
  <c r="AC8" i="2"/>
  <c r="AD8" i="2"/>
  <c r="AE8" i="2"/>
  <c r="AF8" i="2"/>
  <c r="AB9" i="2"/>
  <c r="AC9" i="2"/>
  <c r="AD9" i="2"/>
  <c r="AE9" i="2"/>
  <c r="AF9" i="2"/>
  <c r="AB10" i="2"/>
  <c r="AC10" i="2"/>
  <c r="AD10" i="2"/>
  <c r="AE10" i="2"/>
  <c r="AF10" i="2"/>
  <c r="C18" i="2"/>
  <c r="D18" i="2"/>
  <c r="G18" i="2"/>
  <c r="H18" i="2"/>
  <c r="I18" i="2"/>
  <c r="J18" i="2"/>
  <c r="K18" i="2"/>
  <c r="L18" i="2"/>
  <c r="M18" i="2"/>
  <c r="N18" i="2"/>
  <c r="AB18" i="2"/>
  <c r="AC18" i="2"/>
  <c r="AD18" i="2"/>
  <c r="AE18" i="2"/>
  <c r="AF18" i="2"/>
  <c r="R8" i="2"/>
  <c r="I10" i="2" l="1"/>
  <c r="J10" i="2"/>
  <c r="D10" i="2"/>
  <c r="C10" i="2"/>
  <c r="C9" i="2"/>
  <c r="J9" i="2"/>
  <c r="D9" i="2"/>
  <c r="I9" i="2"/>
  <c r="C8" i="2"/>
  <c r="D8" i="2"/>
  <c r="J8" i="2"/>
  <c r="I8" i="2"/>
  <c r="AO8" i="2"/>
  <c r="K9" i="2" l="1"/>
  <c r="M9" i="2"/>
  <c r="L9" i="2"/>
  <c r="M8" i="2"/>
  <c r="L8" i="2"/>
  <c r="K8" i="2"/>
  <c r="N8" i="2" s="1"/>
  <c r="K10" i="2"/>
  <c r="M10" i="2"/>
  <c r="L10" i="2"/>
  <c r="N10" i="2" l="1"/>
  <c r="N9" i="2"/>
  <c r="AB9" i="8" l="1"/>
  <c r="AB10" i="8"/>
  <c r="AO22" i="8" l="1"/>
  <c r="AM22" i="8"/>
  <c r="AL22" i="8"/>
  <c r="AF22" i="8"/>
  <c r="AC22" i="8"/>
  <c r="AD22" i="8" s="1"/>
  <c r="AB22" i="8"/>
  <c r="U22" i="8"/>
  <c r="R22" i="8"/>
  <c r="AU22" i="8" s="1"/>
  <c r="G22" i="8"/>
  <c r="H22" i="8" s="1"/>
  <c r="AU21" i="8"/>
  <c r="AO21" i="8"/>
  <c r="AM21" i="8"/>
  <c r="AL21" i="8"/>
  <c r="AF21" i="8"/>
  <c r="AC21" i="8"/>
  <c r="AD21" i="8" s="1"/>
  <c r="AB21" i="8"/>
  <c r="W21" i="8"/>
  <c r="AS21" i="8" s="1"/>
  <c r="U21" i="8"/>
  <c r="R21" i="8"/>
  <c r="V21" i="8" s="1"/>
  <c r="G21" i="8"/>
  <c r="H21" i="8" s="1"/>
  <c r="AO20" i="8"/>
  <c r="AM20" i="8"/>
  <c r="AL20" i="8"/>
  <c r="AF20" i="8"/>
  <c r="AC20" i="8"/>
  <c r="AD20" i="8" s="1"/>
  <c r="AB20" i="8"/>
  <c r="AE20" i="8" s="1"/>
  <c r="V20" i="8"/>
  <c r="AR20" i="8" s="1"/>
  <c r="U20" i="8"/>
  <c r="R20" i="8"/>
  <c r="AU20" i="8" s="1"/>
  <c r="G20" i="8"/>
  <c r="H20" i="8" s="1"/>
  <c r="AM19" i="8"/>
  <c r="AL19" i="8"/>
  <c r="AF19" i="8"/>
  <c r="AO19" i="8" s="1"/>
  <c r="AC19" i="8"/>
  <c r="AD19" i="8" s="1"/>
  <c r="AB19" i="8"/>
  <c r="U19" i="8"/>
  <c r="R19" i="8"/>
  <c r="AU19" i="8" s="1"/>
  <c r="G19" i="8"/>
  <c r="H19" i="8" s="1"/>
  <c r="AO12" i="8"/>
  <c r="AM12" i="8"/>
  <c r="AL12" i="8"/>
  <c r="AF12" i="8"/>
  <c r="AC12" i="8"/>
  <c r="AD12" i="8" s="1"/>
  <c r="AE12" i="8" s="1"/>
  <c r="AB12" i="8"/>
  <c r="U12" i="8"/>
  <c r="R12" i="8"/>
  <c r="AU12" i="8" s="1"/>
  <c r="G12" i="8"/>
  <c r="H12" i="8" s="1"/>
  <c r="D12" i="8" s="1"/>
  <c r="AQ12" i="8" s="1"/>
  <c r="AU11" i="8"/>
  <c r="AO11" i="8"/>
  <c r="AM11" i="8"/>
  <c r="AL11" i="8"/>
  <c r="AF11" i="8"/>
  <c r="AD11" i="8"/>
  <c r="AC11" i="8"/>
  <c r="AB11" i="8"/>
  <c r="AE11" i="8" s="1"/>
  <c r="W11" i="8"/>
  <c r="AS11" i="8" s="1"/>
  <c r="V11" i="8"/>
  <c r="X11" i="8" s="1"/>
  <c r="AT11" i="8" s="1"/>
  <c r="U11" i="8"/>
  <c r="R11" i="8"/>
  <c r="G11" i="8"/>
  <c r="H11" i="8" s="1"/>
  <c r="AM10" i="8"/>
  <c r="AL10" i="8"/>
  <c r="AF10" i="8"/>
  <c r="AO10" i="8" s="1"/>
  <c r="AC10" i="8"/>
  <c r="AD10" i="8" s="1"/>
  <c r="AE10" i="8" s="1"/>
  <c r="U10" i="8"/>
  <c r="R10" i="8"/>
  <c r="AU10" i="8" s="1"/>
  <c r="G10" i="8"/>
  <c r="H10" i="8" s="1"/>
  <c r="AM9" i="8"/>
  <c r="AL9" i="8"/>
  <c r="AF9" i="8"/>
  <c r="AO9" i="8" s="1"/>
  <c r="AC9" i="8"/>
  <c r="AD9" i="8" s="1"/>
  <c r="U9" i="8"/>
  <c r="R9" i="8"/>
  <c r="AU9" i="8" s="1"/>
  <c r="G9" i="8"/>
  <c r="H9" i="8" s="1"/>
  <c r="C9" i="8" s="1"/>
  <c r="AP9" i="8" s="1"/>
  <c r="W19" i="8" l="1"/>
  <c r="AS19" i="8" s="1"/>
  <c r="V19" i="8"/>
  <c r="AR19" i="8" s="1"/>
  <c r="W10" i="8"/>
  <c r="AS10" i="8" s="1"/>
  <c r="V10" i="8"/>
  <c r="AR10" i="8" s="1"/>
  <c r="I10" i="8"/>
  <c r="M10" i="8" s="1"/>
  <c r="C10" i="8"/>
  <c r="AP10" i="8" s="1"/>
  <c r="AN10" i="8"/>
  <c r="J21" i="8"/>
  <c r="D21" i="8"/>
  <c r="AQ21" i="8" s="1"/>
  <c r="C21" i="8"/>
  <c r="AP21" i="8" s="1"/>
  <c r="J10" i="8"/>
  <c r="AE21" i="8"/>
  <c r="AN21" i="8" s="1"/>
  <c r="D10" i="8"/>
  <c r="AQ10" i="8" s="1"/>
  <c r="AE22" i="8"/>
  <c r="AN22" i="8" s="1"/>
  <c r="D11" i="8"/>
  <c r="AQ11" i="8" s="1"/>
  <c r="C11" i="8"/>
  <c r="AP11" i="8" s="1"/>
  <c r="AN11" i="8"/>
  <c r="J11" i="8"/>
  <c r="I11" i="8"/>
  <c r="D19" i="8"/>
  <c r="AQ19" i="8" s="1"/>
  <c r="C19" i="8"/>
  <c r="AP19" i="8" s="1"/>
  <c r="I19" i="8"/>
  <c r="J19" i="8"/>
  <c r="AE9" i="8"/>
  <c r="AN9" i="8" s="1"/>
  <c r="X19" i="8"/>
  <c r="AT19" i="8" s="1"/>
  <c r="AR21" i="8"/>
  <c r="X21" i="8"/>
  <c r="AT21" i="8" s="1"/>
  <c r="AE19" i="8"/>
  <c r="AN19" i="8" s="1"/>
  <c r="I20" i="8"/>
  <c r="D20" i="8"/>
  <c r="AQ20" i="8" s="1"/>
  <c r="C20" i="8"/>
  <c r="AP20" i="8" s="1"/>
  <c r="AN20" i="8"/>
  <c r="J20" i="8"/>
  <c r="J22" i="8"/>
  <c r="I22" i="8"/>
  <c r="D22" i="8"/>
  <c r="AQ22" i="8" s="1"/>
  <c r="C22" i="8"/>
  <c r="AP22" i="8" s="1"/>
  <c r="D9" i="8"/>
  <c r="AQ9" i="8" s="1"/>
  <c r="AR11" i="8"/>
  <c r="I12" i="8"/>
  <c r="W20" i="8"/>
  <c r="AS20" i="8" s="1"/>
  <c r="J12" i="8"/>
  <c r="V12" i="8"/>
  <c r="X20" i="8"/>
  <c r="AT20" i="8" s="1"/>
  <c r="W12" i="8"/>
  <c r="AS12" i="8" s="1"/>
  <c r="AN12" i="8"/>
  <c r="I9" i="8"/>
  <c r="C12" i="8"/>
  <c r="AP12" i="8" s="1"/>
  <c r="V9" i="8"/>
  <c r="W9" i="8"/>
  <c r="AS9" i="8" s="1"/>
  <c r="I21" i="8"/>
  <c r="V22" i="8"/>
  <c r="J9" i="8"/>
  <c r="W22" i="8"/>
  <c r="AS22" i="8" s="1"/>
  <c r="X10" i="8" l="1"/>
  <c r="AT10" i="8" s="1"/>
  <c r="L10" i="8"/>
  <c r="K10" i="8"/>
  <c r="N10" i="8" s="1"/>
  <c r="P10" i="8" s="1"/>
  <c r="M21" i="8"/>
  <c r="L21" i="8"/>
  <c r="K21" i="8"/>
  <c r="N21" i="8" s="1"/>
  <c r="P21" i="8" s="1"/>
  <c r="AR22" i="8"/>
  <c r="X22" i="8"/>
  <c r="AT22" i="8" s="1"/>
  <c r="X12" i="8"/>
  <c r="AT12" i="8" s="1"/>
  <c r="AR12" i="8"/>
  <c r="M20" i="8"/>
  <c r="L20" i="8"/>
  <c r="K20" i="8"/>
  <c r="M19" i="8"/>
  <c r="L19" i="8"/>
  <c r="K19" i="8"/>
  <c r="X9" i="8"/>
  <c r="AT9" i="8" s="1"/>
  <c r="AR9" i="8"/>
  <c r="K22" i="8"/>
  <c r="N22" i="8" s="1"/>
  <c r="P22" i="8" s="1"/>
  <c r="L22" i="8"/>
  <c r="M22" i="8"/>
  <c r="L9" i="8"/>
  <c r="K9" i="8"/>
  <c r="M9" i="8"/>
  <c r="M12" i="8"/>
  <c r="L12" i="8"/>
  <c r="K12" i="8"/>
  <c r="M11" i="8"/>
  <c r="L11" i="8"/>
  <c r="K11" i="8"/>
  <c r="AM19" i="2"/>
  <c r="AM20" i="2"/>
  <c r="AM21" i="2"/>
  <c r="AM18" i="2"/>
  <c r="AM9" i="2"/>
  <c r="AM10" i="2"/>
  <c r="AM11" i="2"/>
  <c r="AM8" i="2"/>
  <c r="AL19" i="2"/>
  <c r="AL20" i="2"/>
  <c r="AL21" i="2"/>
  <c r="AL18" i="2"/>
  <c r="AL11" i="2"/>
  <c r="AL9" i="2"/>
  <c r="AL10" i="2"/>
  <c r="U9" i="2"/>
  <c r="U19" i="2"/>
  <c r="U20" i="2"/>
  <c r="U21" i="2"/>
  <c r="U18" i="2"/>
  <c r="U8" i="2"/>
  <c r="V8" i="2" s="1"/>
  <c r="X8" i="2" s="1"/>
  <c r="U11" i="2"/>
  <c r="U10" i="2"/>
  <c r="AS8" i="2" l="1"/>
  <c r="N9" i="8"/>
  <c r="P9" i="8" s="1"/>
  <c r="N19" i="8"/>
  <c r="P19" i="8" s="1"/>
  <c r="N11" i="8"/>
  <c r="P11" i="8" s="1"/>
  <c r="N20" i="8"/>
  <c r="P20" i="8" s="1"/>
  <c r="N12" i="8"/>
  <c r="P12" i="8" s="1"/>
  <c r="AP21" i="2" l="1"/>
  <c r="AP20" i="2"/>
  <c r="AP19" i="2"/>
  <c r="AP18" i="2"/>
  <c r="AP11" i="2"/>
  <c r="AP10" i="2"/>
  <c r="AP9" i="2"/>
  <c r="AF21" i="2" l="1"/>
  <c r="AC21" i="2"/>
  <c r="AB21" i="2"/>
  <c r="R21" i="2"/>
  <c r="G21" i="2"/>
  <c r="H21" i="2" s="1"/>
  <c r="AF20" i="2"/>
  <c r="AC20" i="2"/>
  <c r="AD20" i="2" s="1"/>
  <c r="AB20" i="2"/>
  <c r="R20" i="2"/>
  <c r="G20" i="2"/>
  <c r="H20" i="2" s="1"/>
  <c r="AF19" i="2"/>
  <c r="AC19" i="2"/>
  <c r="AB19" i="2"/>
  <c r="R19" i="2"/>
  <c r="AW19" i="2" s="1"/>
  <c r="G19" i="2"/>
  <c r="H19" i="2" s="1"/>
  <c r="R18" i="2"/>
  <c r="W21" i="2" l="1"/>
  <c r="AT21" i="2" s="1"/>
  <c r="AW21" i="2"/>
  <c r="AD19" i="2"/>
  <c r="AE19" i="2" s="1"/>
  <c r="AO19" i="2" s="1"/>
  <c r="W18" i="2"/>
  <c r="AW18" i="2"/>
  <c r="AD21" i="2"/>
  <c r="AE21" i="2" s="1"/>
  <c r="AO21" i="2" s="1"/>
  <c r="W20" i="2"/>
  <c r="AT20" i="2" s="1"/>
  <c r="AW20" i="2"/>
  <c r="D21" i="2"/>
  <c r="AR21" i="2" s="1"/>
  <c r="I21" i="2"/>
  <c r="M21" i="2" s="1"/>
  <c r="AQ18" i="2"/>
  <c r="AR18" i="2"/>
  <c r="D19" i="2"/>
  <c r="AR19" i="2" s="1"/>
  <c r="I19" i="2"/>
  <c r="M19" i="2" s="1"/>
  <c r="C20" i="2"/>
  <c r="AQ20" i="2" s="1"/>
  <c r="D20" i="2"/>
  <c r="AR20" i="2" s="1"/>
  <c r="V19" i="2"/>
  <c r="V18" i="2"/>
  <c r="AE20" i="2"/>
  <c r="V20" i="2" s="1"/>
  <c r="J21" i="2"/>
  <c r="V21" i="2"/>
  <c r="W19" i="2"/>
  <c r="AT19" i="2" s="1"/>
  <c r="K21" i="2"/>
  <c r="L21" i="2"/>
  <c r="J19" i="2"/>
  <c r="C19" i="2"/>
  <c r="AQ19" i="2" s="1"/>
  <c r="I20" i="2"/>
  <c r="C21" i="2"/>
  <c r="AQ21" i="2" s="1"/>
  <c r="J20" i="2"/>
  <c r="AT18" i="2" l="1"/>
  <c r="L19" i="2"/>
  <c r="N21" i="2"/>
  <c r="P21" i="2" s="1"/>
  <c r="K19" i="2"/>
  <c r="X18" i="2"/>
  <c r="AS18" i="2"/>
  <c r="X20" i="2"/>
  <c r="AS20" i="2"/>
  <c r="AS21" i="2"/>
  <c r="X21" i="2"/>
  <c r="AS19" i="2"/>
  <c r="X19" i="2"/>
  <c r="L20" i="2"/>
  <c r="K20" i="2"/>
  <c r="M20" i="2"/>
  <c r="AO20" i="2"/>
  <c r="AO18" i="2"/>
  <c r="AP8" i="2"/>
  <c r="AB11" i="2"/>
  <c r="AC11" i="2"/>
  <c r="AD11" i="2" s="1"/>
  <c r="AF11" i="2"/>
  <c r="P18" i="2" l="1"/>
  <c r="N19" i="2"/>
  <c r="P19" i="2" s="1"/>
  <c r="N20" i="2"/>
  <c r="P20" i="2" s="1"/>
  <c r="AE11" i="2"/>
  <c r="AO10" i="2" l="1"/>
  <c r="G11" i="2"/>
  <c r="H11" i="2" s="1"/>
  <c r="C4" i="1"/>
  <c r="C3" i="1"/>
  <c r="C2" i="1"/>
  <c r="AQ9" i="2" l="1"/>
  <c r="AR9" i="2"/>
  <c r="AQ10" i="2"/>
  <c r="AR10" i="2"/>
  <c r="C11" i="2"/>
  <c r="AQ11" i="2" s="1"/>
  <c r="D11" i="2"/>
  <c r="AR11" i="2" s="1"/>
  <c r="AO9" i="2"/>
  <c r="AO11" i="2"/>
  <c r="J11" i="2"/>
  <c r="I11" i="2"/>
  <c r="AR8" i="2" l="1"/>
  <c r="AQ8" i="2"/>
  <c r="L11" i="2"/>
  <c r="K11" i="2"/>
  <c r="M11" i="2"/>
  <c r="R9" i="2"/>
  <c r="R10" i="2"/>
  <c r="R11" i="2"/>
  <c r="AW11" i="2" s="1"/>
  <c r="P9" i="2" l="1"/>
  <c r="N11" i="2"/>
  <c r="P11" i="2" s="1"/>
  <c r="P10" i="2"/>
  <c r="V10" i="2"/>
  <c r="X10" i="2" s="1"/>
  <c r="AW10" i="2"/>
  <c r="W9" i="2"/>
  <c r="AU9" i="2" s="1"/>
  <c r="AW9" i="2"/>
  <c r="AW8" i="2"/>
  <c r="W8" i="2"/>
  <c r="V9" i="2"/>
  <c r="AS9" i="2" s="1"/>
  <c r="W11" i="2"/>
  <c r="V11" i="2"/>
  <c r="AS11" i="2" s="1"/>
  <c r="W10" i="2"/>
  <c r="AU10" i="2" s="1"/>
  <c r="AT11" i="2" l="1"/>
  <c r="AU11" i="2"/>
  <c r="AU8" i="2"/>
  <c r="AT10" i="2"/>
  <c r="AT9" i="2"/>
  <c r="AS10" i="2"/>
  <c r="X9" i="2"/>
  <c r="X11" i="2"/>
  <c r="P8" i="2" l="1"/>
</calcChain>
</file>

<file path=xl/sharedStrings.xml><?xml version="1.0" encoding="utf-8"?>
<sst xmlns="http://schemas.openxmlformats.org/spreadsheetml/2006/main" count="319" uniqueCount="88">
  <si>
    <t>H</t>
    <phoneticPr fontId="1"/>
  </si>
  <si>
    <t>K</t>
    <phoneticPr fontId="1"/>
  </si>
  <si>
    <t>M</t>
  </si>
  <si>
    <t>G</t>
  </si>
  <si>
    <t>[Hz]</t>
    <phoneticPr fontId="1"/>
  </si>
  <si>
    <t>[kHz]</t>
  </si>
  <si>
    <t>[kHz]</t>
    <phoneticPr fontId="1"/>
  </si>
  <si>
    <t>[MHz]</t>
    <phoneticPr fontId="1"/>
  </si>
  <si>
    <t>[GHz]</t>
    <phoneticPr fontId="1"/>
  </si>
  <si>
    <t>オレンジ色の欄を記入し、各申請値に異常が無ければ、右の判定欄が全て○になります。</t>
    <rPh sb="4" eb="5">
      <t>イロ</t>
    </rPh>
    <rPh sb="6" eb="7">
      <t>ラン</t>
    </rPh>
    <rPh sb="8" eb="10">
      <t>キニュウ</t>
    </rPh>
    <rPh sb="12" eb="13">
      <t>カク</t>
    </rPh>
    <rPh sb="13" eb="15">
      <t>シンセイ</t>
    </rPh>
    <rPh sb="15" eb="16">
      <t>チ</t>
    </rPh>
    <rPh sb="17" eb="19">
      <t>イジョウ</t>
    </rPh>
    <rPh sb="20" eb="21">
      <t>ナ</t>
    </rPh>
    <rPh sb="25" eb="26">
      <t>ミギ</t>
    </rPh>
    <rPh sb="27" eb="29">
      <t>ハンテイ</t>
    </rPh>
    <rPh sb="29" eb="30">
      <t>ラン</t>
    </rPh>
    <rPh sb="31" eb="32">
      <t>スベ</t>
    </rPh>
    <phoneticPr fontId="3"/>
  </si>
  <si>
    <t>to</t>
    <phoneticPr fontId="3"/>
  </si>
  <si>
    <t>from</t>
    <phoneticPr fontId="3"/>
  </si>
  <si>
    <t>[dBW/Hz]</t>
    <phoneticPr fontId="3"/>
  </si>
  <si>
    <t>[dBW]</t>
    <phoneticPr fontId="3"/>
  </si>
  <si>
    <t>[dBi]</t>
    <phoneticPr fontId="3"/>
  </si>
  <si>
    <t>[dB]</t>
    <phoneticPr fontId="3"/>
  </si>
  <si>
    <t>[W]</t>
    <phoneticPr fontId="3"/>
  </si>
  <si>
    <t>[MHz]</t>
    <phoneticPr fontId="3"/>
  </si>
  <si>
    <t>EIRP密度</t>
    <rPh sb="4" eb="6">
      <t>ミツド</t>
    </rPh>
    <phoneticPr fontId="3"/>
  </si>
  <si>
    <t>EIRP</t>
    <phoneticPr fontId="3"/>
  </si>
  <si>
    <t>電力密度</t>
    <rPh sb="0" eb="2">
      <t>デンリョク</t>
    </rPh>
    <rPh sb="2" eb="4">
      <t>ミツド</t>
    </rPh>
    <phoneticPr fontId="3"/>
  </si>
  <si>
    <t>周波数</t>
    <rPh sb="0" eb="3">
      <t>シュウハスウ</t>
    </rPh>
    <phoneticPr fontId="3"/>
  </si>
  <si>
    <t>電波の型式</t>
    <rPh sb="0" eb="2">
      <t>デンパ</t>
    </rPh>
    <rPh sb="3" eb="5">
      <t>カタシキ</t>
    </rPh>
    <phoneticPr fontId="3"/>
  </si>
  <si>
    <t>利得</t>
    <rPh sb="0" eb="2">
      <t>リトク</t>
    </rPh>
    <phoneticPr fontId="3"/>
  </si>
  <si>
    <t>電力</t>
    <rPh sb="0" eb="2">
      <t>デンリョク</t>
    </rPh>
    <phoneticPr fontId="3"/>
  </si>
  <si>
    <t>周波数範囲[MHz]</t>
    <rPh sb="0" eb="3">
      <t>シュウハスウ</t>
    </rPh>
    <rPh sb="3" eb="5">
      <t>ハンイ</t>
    </rPh>
    <phoneticPr fontId="3"/>
  </si>
  <si>
    <t>ビーム名</t>
    <rPh sb="3" eb="4">
      <t>メイ</t>
    </rPh>
    <phoneticPr fontId="3"/>
  </si>
  <si>
    <t>EIRP密度</t>
    <phoneticPr fontId="3"/>
  </si>
  <si>
    <t>電力密度</t>
    <phoneticPr fontId="3"/>
  </si>
  <si>
    <t>給電線損失</t>
    <rPh sb="0" eb="3">
      <t>キュウデンセン</t>
    </rPh>
    <rPh sb="3" eb="5">
      <t>ソンシツ</t>
    </rPh>
    <phoneticPr fontId="3"/>
  </si>
  <si>
    <t>空中線電力</t>
    <rPh sb="0" eb="3">
      <t>クウチュウセン</t>
    </rPh>
    <rPh sb="3" eb="5">
      <t>デンリョク</t>
    </rPh>
    <phoneticPr fontId="3"/>
  </si>
  <si>
    <t>中心周波数</t>
    <rPh sb="0" eb="2">
      <t>チュウシン</t>
    </rPh>
    <rPh sb="2" eb="5">
      <t>シュウハスウ</t>
    </rPh>
    <phoneticPr fontId="3"/>
  </si>
  <si>
    <t>判定</t>
    <rPh sb="0" eb="2">
      <t>ハンテイ</t>
    </rPh>
    <phoneticPr fontId="3"/>
  </si>
  <si>
    <t>国内免許申請値</t>
    <rPh sb="0" eb="2">
      <t>コクナイ</t>
    </rPh>
    <rPh sb="2" eb="4">
      <t>メンキョ</t>
    </rPh>
    <rPh sb="4" eb="6">
      <t>シンセイ</t>
    </rPh>
    <rPh sb="6" eb="7">
      <t>チ</t>
    </rPh>
    <phoneticPr fontId="3"/>
  </si>
  <si>
    <t>● 地球局相当アマチュア局</t>
    <rPh sb="2" eb="4">
      <t>チキュウ</t>
    </rPh>
    <rPh sb="4" eb="5">
      <t>キョク</t>
    </rPh>
    <rPh sb="5" eb="7">
      <t>ソウトウ</t>
    </rPh>
    <rPh sb="12" eb="13">
      <t>キョク</t>
    </rPh>
    <phoneticPr fontId="3"/>
  </si>
  <si>
    <t>● 人工衛星局相当アマチュア局</t>
    <rPh sb="2" eb="4">
      <t>ジンコウ</t>
    </rPh>
    <rPh sb="4" eb="6">
      <t>エイセイ</t>
    </rPh>
    <rPh sb="6" eb="7">
      <t>キョク</t>
    </rPh>
    <rPh sb="7" eb="9">
      <t>ソウトウ</t>
    </rPh>
    <rPh sb="14" eb="15">
      <t>キョク</t>
    </rPh>
    <phoneticPr fontId="3"/>
  </si>
  <si>
    <t>国際調整値との比較表</t>
    <phoneticPr fontId="3"/>
  </si>
  <si>
    <t>電波の型式</t>
    <phoneticPr fontId="1"/>
  </si>
  <si>
    <t>占有周波数帯幅</t>
    <phoneticPr fontId="1"/>
  </si>
  <si>
    <t>[Hz]</t>
    <phoneticPr fontId="1"/>
  </si>
  <si>
    <t>SI接頭辞十進数表記</t>
    <phoneticPr fontId="1"/>
  </si>
  <si>
    <t>（変換用途中計算）</t>
    <rPh sb="1" eb="3">
      <t>ヘンカン</t>
    </rPh>
    <rPh sb="3" eb="4">
      <t>ヨウ</t>
    </rPh>
    <rPh sb="4" eb="8">
      <t>トチュウケイサン</t>
    </rPh>
    <phoneticPr fontId="1"/>
  </si>
  <si>
    <t>電波の型式</t>
    <phoneticPr fontId="1"/>
  </si>
  <si>
    <t>冠した電波の型式</t>
    <rPh sb="0" eb="1">
      <t>カンムリ</t>
    </rPh>
    <rPh sb="3" eb="5">
      <t>デンパ</t>
    </rPh>
    <rPh sb="6" eb="8">
      <t>カタシキ</t>
    </rPh>
    <phoneticPr fontId="1"/>
  </si>
  <si>
    <t>型式部</t>
    <rPh sb="0" eb="3">
      <t>カタシキブ</t>
    </rPh>
    <phoneticPr fontId="1"/>
  </si>
  <si>
    <t>帯幅</t>
    <rPh sb="0" eb="2">
      <t>タイハバ</t>
    </rPh>
    <phoneticPr fontId="1"/>
  </si>
  <si>
    <t>↕電力密度等の計算に使用する（※占有周波数帯幅[Hz]）判定計算</t>
    <rPh sb="1" eb="3">
      <t>デンリョク</t>
    </rPh>
    <rPh sb="3" eb="5">
      <t>ミツド</t>
    </rPh>
    <rPh sb="5" eb="6">
      <t>トウ</t>
    </rPh>
    <rPh sb="7" eb="9">
      <t>ケイサン</t>
    </rPh>
    <rPh sb="10" eb="12">
      <t>シヨウ</t>
    </rPh>
    <rPh sb="16" eb="18">
      <t>センユウ</t>
    </rPh>
    <rPh sb="18" eb="22">
      <t>シュウハスウタイ</t>
    </rPh>
    <rPh sb="22" eb="23">
      <t>ハバ</t>
    </rPh>
    <rPh sb="28" eb="30">
      <t>ハンテイ</t>
    </rPh>
    <rPh sb="30" eb="32">
      <t>ケイサン</t>
    </rPh>
    <phoneticPr fontId="1"/>
  </si>
  <si>
    <t>型式</t>
    <rPh sb="0" eb="2">
      <t>カタシキ</t>
    </rPh>
    <phoneticPr fontId="1"/>
  </si>
  <si>
    <t>（占有周波数帯幅計算用）</t>
    <phoneticPr fontId="1"/>
  </si>
  <si>
    <t>（変換用途中計算）</t>
    <phoneticPr fontId="1"/>
  </si>
  <si>
    <t>↕単位プルダウン選択</t>
    <phoneticPr fontId="1"/>
  </si>
  <si>
    <t>周波数範囲[MHz]</t>
    <phoneticPr fontId="1"/>
  </si>
  <si>
    <t>型式部確認用</t>
    <rPh sb="0" eb="2">
      <t>カタシキ</t>
    </rPh>
    <rPh sb="2" eb="3">
      <t>ブ</t>
    </rPh>
    <rPh sb="3" eb="6">
      <t>カクニンヨウ</t>
    </rPh>
    <phoneticPr fontId="1"/>
  </si>
  <si>
    <t>【記入例】</t>
    <rPh sb="1" eb="3">
      <t>キニュウ</t>
    </rPh>
    <phoneticPr fontId="1"/>
  </si>
  <si>
    <t>A1A</t>
    <phoneticPr fontId="1"/>
  </si>
  <si>
    <t>[Hz]</t>
  </si>
  <si>
    <t>500HA1A</t>
    <phoneticPr fontId="1"/>
  </si>
  <si>
    <t>D1</t>
    <phoneticPr fontId="1"/>
  </si>
  <si>
    <t>D2</t>
    <phoneticPr fontId="1"/>
  </si>
  <si>
    <t>U1</t>
    <phoneticPr fontId="1"/>
  </si>
  <si>
    <t>F2D</t>
    <phoneticPr fontId="1"/>
  </si>
  <si>
    <t>20K0F2D</t>
    <phoneticPr fontId="1"/>
  </si>
  <si>
    <t>電力</t>
    <rPh sb="0" eb="2">
      <t>デンリョク</t>
    </rPh>
    <phoneticPr fontId="1"/>
  </si>
  <si>
    <t>参考</t>
    <rPh sb="0" eb="2">
      <t>サンコウ</t>
    </rPh>
    <phoneticPr fontId="1"/>
  </si>
  <si>
    <t>↓国際調整値の電力は"給電線損失を含む"</t>
    <rPh sb="1" eb="3">
      <t>コクサイ</t>
    </rPh>
    <rPh sb="3" eb="6">
      <t>チョウセイチ</t>
    </rPh>
    <rPh sb="7" eb="9">
      <t>デンリョク</t>
    </rPh>
    <phoneticPr fontId="1"/>
  </si>
  <si>
    <t>GroupID</t>
    <phoneticPr fontId="1"/>
  </si>
  <si>
    <t>参照帯域幅</t>
    <rPh sb="0" eb="2">
      <t>サンショウ</t>
    </rPh>
    <rPh sb="2" eb="4">
      <t>タイイキ</t>
    </rPh>
    <rPh sb="4" eb="5">
      <t>ハバ</t>
    </rPh>
    <phoneticPr fontId="1"/>
  </si>
  <si>
    <t>【小型衛星通信の国際周波数調整手続きに関するマニュアル 4.1.3電力密度参照】&lt;https://www.tele.soumu.go.jp/resource/j/freq/process/freqint/001.pdf&gt;</t>
    <phoneticPr fontId="3"/>
  </si>
  <si>
    <t>（右の判定欄に×がある場合、入力値の誤りがあるか、申請値に異常があるため改めて調整が必要です。）</t>
    <phoneticPr fontId="1"/>
  </si>
  <si>
    <t>　〈小数点以下も含め、【IARUの承認値≧国際調整値（API）≧免許申請値】で調整です。〉</t>
    <phoneticPr fontId="3"/>
  </si>
  <si>
    <t>※占有周波数帯幅の値は[参照帯域幅]を使用</t>
    <rPh sb="1" eb="3">
      <t>センユウ</t>
    </rPh>
    <rPh sb="3" eb="7">
      <t>シュウハスウタイ</t>
    </rPh>
    <rPh sb="7" eb="8">
      <t>ハバ</t>
    </rPh>
    <rPh sb="9" eb="10">
      <t>アタイ</t>
    </rPh>
    <rPh sb="12" eb="14">
      <t>サンショウ</t>
    </rPh>
    <rPh sb="14" eb="16">
      <t>タイイキ</t>
    </rPh>
    <rPh sb="16" eb="17">
      <t>ハバ</t>
    </rPh>
    <rPh sb="19" eb="21">
      <t>シヨウ</t>
    </rPh>
    <phoneticPr fontId="3"/>
  </si>
  <si>
    <t>ITUファイリングとの比較（○○○○；API/○/xxxxx ；IFICxxxx；提出日20xx年xx月xx日；公開日20xx年xx月xx日)</t>
    <rPh sb="43" eb="44">
      <t>ビ</t>
    </rPh>
    <rPh sb="56" eb="59">
      <t>コウカイビ</t>
    </rPh>
    <phoneticPr fontId="3"/>
  </si>
  <si>
    <t>国際調整値(API)</t>
    <phoneticPr fontId="3"/>
  </si>
  <si>
    <t>〔空中線電力[dBW]〕　＝10log〔空中線電力[W]〕</t>
    <rPh sb="1" eb="4">
      <t>クウチュウセン</t>
    </rPh>
    <rPh sb="4" eb="6">
      <t>デンリョク</t>
    </rPh>
    <rPh sb="20" eb="23">
      <t>クウチュウセン</t>
    </rPh>
    <rPh sb="23" eb="25">
      <t>デンリョク</t>
    </rPh>
    <phoneticPr fontId="3"/>
  </si>
  <si>
    <t>〔電力密度[dBW/HZ]〕＝〔空中線電力[dBW]〕-〔給電線損失[dB]〕-10log〔※占有周波数帯幅[Hz]〕</t>
    <rPh sb="1" eb="3">
      <t>デンリョク</t>
    </rPh>
    <rPh sb="3" eb="5">
      <t>ミツド</t>
    </rPh>
    <rPh sb="29" eb="32">
      <t>キュウデンセン</t>
    </rPh>
    <rPh sb="32" eb="34">
      <t>ソンシツ</t>
    </rPh>
    <rPh sb="47" eb="54">
      <t>センユウシュウハスウタイハバ</t>
    </rPh>
    <phoneticPr fontId="3"/>
  </si>
  <si>
    <t>〔EIRP[dBW]〕　　　　　 ＝〔空中線電力[dBW]〕-〔給電線損失[dB]〕+〔利得[dBi]〕</t>
    <rPh sb="44" eb="46">
      <t>リトク</t>
    </rPh>
    <phoneticPr fontId="3"/>
  </si>
  <si>
    <t>〔EIRP密度[dBW/Hz]〕＝〔EIRP[dBW]〕-10log〔※占有周波数帯幅[Hz]〕＝〔電力密度[dBW/HZ]〕+〔利得[dBi]〕</t>
    <rPh sb="5" eb="7">
      <t>ミツド</t>
    </rPh>
    <phoneticPr fontId="3"/>
  </si>
  <si>
    <t>（国際調整値との比較であるため、本比較表では国内調整値の計算は上記の計算式を用いておりますが、工事設計書は改めて別途計算してください。）</t>
    <rPh sb="1" eb="5">
      <t>コクサイチョウセイ</t>
    </rPh>
    <rPh sb="5" eb="6">
      <t>チ</t>
    </rPh>
    <rPh sb="8" eb="10">
      <t>ヒカク</t>
    </rPh>
    <rPh sb="16" eb="20">
      <t>ホンヒカクヒョウ</t>
    </rPh>
    <rPh sb="22" eb="27">
      <t>コクナイチョウセイチ</t>
    </rPh>
    <rPh sb="28" eb="30">
      <t>ケイサン</t>
    </rPh>
    <rPh sb="31" eb="33">
      <t>ジョウキ</t>
    </rPh>
    <rPh sb="34" eb="36">
      <t>ケイサン</t>
    </rPh>
    <rPh sb="36" eb="37">
      <t>シキ</t>
    </rPh>
    <rPh sb="38" eb="39">
      <t>モチ</t>
    </rPh>
    <rPh sb="47" eb="52">
      <t>コウジセッケイショ</t>
    </rPh>
    <rPh sb="53" eb="54">
      <t>アラタ</t>
    </rPh>
    <rPh sb="56" eb="58">
      <t>ベット</t>
    </rPh>
    <rPh sb="58" eb="60">
      <t>ケイサン</t>
    </rPh>
    <phoneticPr fontId="1"/>
  </si>
  <si>
    <t>　注：国際調整値欄はAPI申請した数値を記載すること（基本計算式は使用しないこと）。</t>
    <rPh sb="1" eb="2">
      <t>チュウ</t>
    </rPh>
    <rPh sb="3" eb="7">
      <t>コクサイチョウセイ</t>
    </rPh>
    <rPh sb="7" eb="8">
      <t>チ</t>
    </rPh>
    <rPh sb="8" eb="9">
      <t>ラン</t>
    </rPh>
    <rPh sb="13" eb="15">
      <t>シンセイ</t>
    </rPh>
    <rPh sb="17" eb="19">
      <t>スウチ</t>
    </rPh>
    <rPh sb="20" eb="22">
      <t>キサイ</t>
    </rPh>
    <rPh sb="27" eb="29">
      <t>キホン</t>
    </rPh>
    <rPh sb="29" eb="32">
      <t>ケイサンシキ</t>
    </rPh>
    <rPh sb="33" eb="35">
      <t>シヨウ</t>
    </rPh>
    <phoneticPr fontId="1"/>
  </si>
  <si>
    <t>　注：IARU申請やAPI申請で使用した｢電力｣は｢空中線入力電力｣を意味しており給電線損失を含むが、免許申請の｢電力｣は給電線損失は含まない点注意すること。</t>
    <rPh sb="1" eb="2">
      <t>チュウ</t>
    </rPh>
    <rPh sb="7" eb="9">
      <t>シンセイ</t>
    </rPh>
    <rPh sb="13" eb="15">
      <t>シンセイ</t>
    </rPh>
    <rPh sb="16" eb="18">
      <t>シヨウ</t>
    </rPh>
    <rPh sb="21" eb="23">
      <t>デンリョク</t>
    </rPh>
    <rPh sb="26" eb="29">
      <t>クウチュウセン</t>
    </rPh>
    <rPh sb="29" eb="31">
      <t>ニュウリョク</t>
    </rPh>
    <rPh sb="31" eb="33">
      <t>デンリョク</t>
    </rPh>
    <rPh sb="35" eb="37">
      <t>イミ</t>
    </rPh>
    <rPh sb="41" eb="44">
      <t>キュウデンセン</t>
    </rPh>
    <rPh sb="44" eb="46">
      <t>ソンシツ</t>
    </rPh>
    <rPh sb="47" eb="48">
      <t>フク</t>
    </rPh>
    <rPh sb="51" eb="53">
      <t>メンキョ</t>
    </rPh>
    <rPh sb="67" eb="68">
      <t>フク</t>
    </rPh>
    <rPh sb="71" eb="72">
      <t>テン</t>
    </rPh>
    <rPh sb="72" eb="74">
      <t>チュウイ</t>
    </rPh>
    <phoneticPr fontId="1"/>
  </si>
  <si>
    <t>上部にはITUファイリング情報である、〔ファイリング名(○○○○)；ステータス(API/○/xxxxx(又はPART II-S等))；IFIC 番号(IFICxxxx)；ITU提出日20xx年xx月xx日；ITU公開日20xx年xx月xx日〕を記入すること。</t>
    <rPh sb="13" eb="15">
      <t>ジョウホウ</t>
    </rPh>
    <rPh sb="52" eb="53">
      <t>マタ</t>
    </rPh>
    <rPh sb="63" eb="64">
      <t>トウ</t>
    </rPh>
    <phoneticPr fontId="1"/>
  </si>
  <si>
    <t>ITUファイリングとの比較（SOUMUAT-SAT；API/A/00000 ；IFIC0000；提出日2000年1月1日；公開日2000年2月1日)</t>
    <phoneticPr fontId="3"/>
  </si>
  <si>
    <t>16K0F2D</t>
  </si>
  <si>
    <t>IARU調整値</t>
    <rPh sb="4" eb="7">
      <t>チョウセイチ</t>
    </rPh>
    <phoneticPr fontId="1"/>
  </si>
  <si>
    <t>EIRP</t>
  </si>
  <si>
    <t>[dBW]</t>
  </si>
  <si>
    <t>IARU</t>
    <phoneticPr fontId="1"/>
  </si>
  <si>
    <t>EIRP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</si>
</sst>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00"/>
    <numFmt numFmtId="178" formatCode="0_);[Red]\(0\)"/>
    <numFmt numFmtId="179" formatCode="0.00_);[Red]\(0.00\)"/>
    <numFmt numFmtId="180" formatCode="0.00_ "/>
    <numFmt numFmtId="181" formatCode="0_ "/>
    <numFmt numFmtId="182" formatCode="0.0_ "/>
  </numFmts>
  <fonts count="8">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1"/>
      <color theme="1"/>
      <name val="ＭＳ Ｐゴシック"/>
      <family val="3"/>
      <charset val="128"/>
    </font>
    <font>
      <sz val="22"/>
      <name val="ＭＳ Ｐ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144">
    <xf numFmtId="0" fontId="0" fillId="0" borderId="0" xfId="0">
      <alignment vertical="center"/>
    </xf>
    <xf numFmtId="2" fontId="0" fillId="0" borderId="0" xfId="0" applyNumberFormat="1">
      <alignment vertical="center"/>
    </xf>
    <xf numFmtId="49" fontId="0" fillId="0" borderId="0" xfId="0" applyNumberFormat="1">
      <alignment vertical="center"/>
    </xf>
    <xf numFmtId="178" fontId="0" fillId="0" borderId="0" xfId="0" applyNumberFormat="1">
      <alignment vertical="center"/>
    </xf>
    <xf numFmtId="179" fontId="0" fillId="0" borderId="0" xfId="0" applyNumberFormat="1">
      <alignment vertical="center"/>
    </xf>
    <xf numFmtId="49" fontId="0" fillId="0" borderId="0" xfId="0" applyNumberFormat="1" applyAlignment="1">
      <alignment horizontal="left" vertical="center"/>
    </xf>
    <xf numFmtId="179" fontId="0" fillId="0" borderId="0" xfId="0" applyNumberFormat="1" applyAlignment="1">
      <alignment horizontal="right" vertical="center"/>
    </xf>
    <xf numFmtId="0" fontId="2" fillId="0" borderId="0" xfId="1">
      <alignment vertical="center"/>
    </xf>
    <xf numFmtId="180" fontId="2" fillId="0" borderId="0" xfId="1" applyNumberFormat="1">
      <alignment vertical="center"/>
    </xf>
    <xf numFmtId="0" fontId="2" fillId="0" borderId="0" xfId="1" applyAlignment="1">
      <alignment horizontal="left" vertical="center"/>
    </xf>
    <xf numFmtId="0" fontId="2" fillId="0" borderId="0" xfId="1">
      <alignment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2" borderId="2" xfId="1" applyFill="1" applyBorder="1" applyAlignment="1">
      <alignment horizontal="center" vertical="center"/>
    </xf>
    <xf numFmtId="0" fontId="2" fillId="2" borderId="2" xfId="1" applyFill="1" applyBorder="1">
      <alignment vertical="center"/>
    </xf>
    <xf numFmtId="0" fontId="2" fillId="2" borderId="5" xfId="1" applyFill="1" applyBorder="1" applyAlignment="1">
      <alignment horizontal="center" vertical="center"/>
    </xf>
    <xf numFmtId="0" fontId="2" fillId="0" borderId="6" xfId="1" applyBorder="1" applyAlignment="1">
      <alignment horizontal="right" vertical="center"/>
    </xf>
    <xf numFmtId="180" fontId="2" fillId="0" borderId="2" xfId="1" applyNumberFormat="1" applyBorder="1" applyAlignment="1">
      <alignment horizontal="right" vertical="center"/>
    </xf>
    <xf numFmtId="176" fontId="2" fillId="2" borderId="2" xfId="1" applyNumberFormat="1" applyFill="1" applyBorder="1">
      <alignment vertical="center"/>
    </xf>
    <xf numFmtId="0" fontId="2" fillId="0" borderId="8" xfId="1" applyBorder="1" applyAlignment="1">
      <alignment horizontal="center" vertical="center"/>
    </xf>
    <xf numFmtId="0" fontId="2" fillId="0" borderId="9" xfId="1" applyBorder="1" applyAlignment="1">
      <alignment horizontal="center" vertical="center"/>
    </xf>
    <xf numFmtId="0" fontId="2" fillId="2" borderId="9" xfId="1" applyFill="1" applyBorder="1" applyAlignment="1">
      <alignment horizontal="center" vertical="center"/>
    </xf>
    <xf numFmtId="0" fontId="2" fillId="2" borderId="9" xfId="1" applyFill="1" applyBorder="1">
      <alignment vertical="center"/>
    </xf>
    <xf numFmtId="0" fontId="2" fillId="2" borderId="12" xfId="1" applyFill="1" applyBorder="1" applyAlignment="1">
      <alignment horizontal="center" vertical="center"/>
    </xf>
    <xf numFmtId="0" fontId="2" fillId="0" borderId="13" xfId="1" applyBorder="1" applyAlignment="1">
      <alignment horizontal="right" vertical="center"/>
    </xf>
    <xf numFmtId="180" fontId="2" fillId="0" borderId="9" xfId="1" applyNumberFormat="1" applyBorder="1" applyAlignment="1">
      <alignment horizontal="right" vertical="center"/>
    </xf>
    <xf numFmtId="176" fontId="2" fillId="2" borderId="9" xfId="1" applyNumberFormat="1" applyFill="1" applyBorder="1">
      <alignment vertical="center"/>
    </xf>
    <xf numFmtId="0" fontId="2" fillId="0" borderId="11" xfId="1" applyFill="1" applyBorder="1" applyAlignment="1">
      <alignment horizontal="center" vertical="center"/>
    </xf>
    <xf numFmtId="180" fontId="2" fillId="0" borderId="9" xfId="1" applyNumberFormat="1" applyFill="1" applyBorder="1" applyAlignment="1">
      <alignment horizontal="center" vertical="center"/>
    </xf>
    <xf numFmtId="0" fontId="2" fillId="0" borderId="0" xfId="1" applyAlignment="1">
      <alignment horizontal="center" vertical="center"/>
    </xf>
    <xf numFmtId="0" fontId="2" fillId="0" borderId="9" xfId="1" applyBorder="1">
      <alignment vertical="center"/>
    </xf>
    <xf numFmtId="0" fontId="2" fillId="0" borderId="0" xfId="1" applyAlignment="1">
      <alignment vertical="center"/>
    </xf>
    <xf numFmtId="0" fontId="4" fillId="0" borderId="0" xfId="1" applyFont="1" applyAlignment="1">
      <alignment vertical="center"/>
    </xf>
    <xf numFmtId="0" fontId="2" fillId="0" borderId="27" xfId="1" applyFill="1" applyBorder="1" applyAlignment="1">
      <alignment vertical="center"/>
    </xf>
    <xf numFmtId="0" fontId="2" fillId="0" borderId="9" xfId="1" applyNumberFormat="1" applyBorder="1" applyAlignment="1">
      <alignment horizontal="right" vertical="center"/>
    </xf>
    <xf numFmtId="0" fontId="2" fillId="2" borderId="28" xfId="1" applyFill="1" applyBorder="1" applyAlignment="1">
      <alignment horizontal="center" vertical="center"/>
    </xf>
    <xf numFmtId="0" fontId="6" fillId="0" borderId="32" xfId="0" applyFont="1" applyBorder="1" applyAlignment="1">
      <alignment horizontal="left" vertical="center"/>
    </xf>
    <xf numFmtId="0" fontId="2" fillId="0" borderId="0" xfId="1">
      <alignment vertical="center"/>
    </xf>
    <xf numFmtId="0" fontId="2" fillId="0" borderId="13" xfId="1" applyBorder="1" applyAlignment="1">
      <alignment horizontal="center" vertical="center"/>
    </xf>
    <xf numFmtId="0" fontId="2" fillId="0" borderId="10" xfId="1" applyBorder="1" applyAlignment="1">
      <alignment horizontal="center" vertical="center"/>
    </xf>
    <xf numFmtId="0" fontId="2" fillId="0" borderId="14" xfId="1" applyFill="1" applyBorder="1" applyAlignment="1">
      <alignment horizontal="center" vertical="center"/>
    </xf>
    <xf numFmtId="0" fontId="2" fillId="0" borderId="9" xfId="1" applyFill="1" applyBorder="1" applyAlignment="1">
      <alignment horizontal="center" vertical="center"/>
    </xf>
    <xf numFmtId="0" fontId="2" fillId="0" borderId="13" xfId="1" applyFill="1" applyBorder="1" applyAlignment="1">
      <alignment horizontal="center" vertical="center"/>
    </xf>
    <xf numFmtId="0" fontId="2" fillId="0" borderId="9" xfId="1" applyFill="1" applyBorder="1" applyAlignment="1">
      <alignment horizontal="center" vertical="center"/>
    </xf>
    <xf numFmtId="0" fontId="2" fillId="0" borderId="0" xfId="1" applyAlignment="1">
      <alignment horizontal="center" vertical="center"/>
    </xf>
    <xf numFmtId="0" fontId="2" fillId="0" borderId="10" xfId="1" applyBorder="1" applyAlignment="1">
      <alignment horizontal="center" vertical="center"/>
    </xf>
    <xf numFmtId="0" fontId="2" fillId="0" borderId="13" xfId="1" applyFill="1" applyBorder="1" applyAlignment="1">
      <alignment horizontal="center" vertical="center"/>
    </xf>
    <xf numFmtId="0" fontId="2" fillId="0" borderId="13" xfId="1" applyBorder="1" applyAlignment="1">
      <alignment horizontal="center" vertical="center"/>
    </xf>
    <xf numFmtId="0" fontId="2" fillId="0" borderId="0" xfId="1">
      <alignment vertical="center"/>
    </xf>
    <xf numFmtId="0" fontId="2" fillId="0" borderId="14" xfId="1" applyFill="1" applyBorder="1" applyAlignment="1">
      <alignment horizontal="center" vertical="center"/>
    </xf>
    <xf numFmtId="0" fontId="4" fillId="0" borderId="24" xfId="1" applyFont="1" applyFill="1" applyBorder="1" applyAlignment="1">
      <alignment vertical="center"/>
    </xf>
    <xf numFmtId="0" fontId="2" fillId="0" borderId="9" xfId="1" applyBorder="1" applyAlignment="1">
      <alignment horizontal="center" vertical="center"/>
    </xf>
    <xf numFmtId="0" fontId="2" fillId="0" borderId="9" xfId="1" applyFill="1" applyBorder="1" applyAlignment="1">
      <alignment horizontal="center" vertical="center" wrapText="1"/>
    </xf>
    <xf numFmtId="0" fontId="2" fillId="0" borderId="9" xfId="1" applyFill="1" applyBorder="1" applyAlignment="1">
      <alignment vertical="center"/>
    </xf>
    <xf numFmtId="0" fontId="2" fillId="0" borderId="9" xfId="1" applyFill="1" applyBorder="1" applyAlignment="1">
      <alignment horizontal="center" vertical="center" wrapText="1"/>
    </xf>
    <xf numFmtId="0" fontId="2" fillId="2" borderId="9" xfId="1" applyFill="1" applyBorder="1" applyAlignment="1">
      <alignment horizontal="left" vertical="center"/>
    </xf>
    <xf numFmtId="0" fontId="6" fillId="0" borderId="9" xfId="0" applyFont="1" applyBorder="1">
      <alignment vertical="center"/>
    </xf>
    <xf numFmtId="0" fontId="2" fillId="0" borderId="16" xfId="1" applyFill="1" applyBorder="1" applyAlignment="1">
      <alignment horizontal="center" vertical="center"/>
    </xf>
    <xf numFmtId="0" fontId="2" fillId="0" borderId="30" xfId="1" applyFill="1" applyBorder="1" applyAlignment="1">
      <alignment vertical="center"/>
    </xf>
    <xf numFmtId="0" fontId="2" fillId="2" borderId="14" xfId="1" applyFill="1" applyBorder="1" applyAlignment="1">
      <alignment horizontal="center" vertical="center"/>
    </xf>
    <xf numFmtId="0" fontId="2" fillId="2" borderId="2" xfId="1" applyFill="1" applyBorder="1" applyAlignment="1">
      <alignment horizontal="left" vertical="center"/>
    </xf>
    <xf numFmtId="0" fontId="2" fillId="0" borderId="2" xfId="1" applyBorder="1">
      <alignment vertical="center"/>
    </xf>
    <xf numFmtId="0" fontId="6" fillId="0" borderId="2" xfId="0" applyFont="1" applyBorder="1">
      <alignment vertical="center"/>
    </xf>
    <xf numFmtId="0" fontId="2" fillId="0" borderId="2" xfId="1" applyNumberFormat="1" applyBorder="1" applyAlignment="1">
      <alignment horizontal="right" vertical="center"/>
    </xf>
    <xf numFmtId="0" fontId="2" fillId="2" borderId="13" xfId="1" applyFill="1" applyBorder="1" applyAlignment="1">
      <alignment horizontal="center" vertical="center"/>
    </xf>
    <xf numFmtId="0" fontId="2" fillId="2" borderId="13" xfId="1" applyFill="1" applyBorder="1" applyAlignment="1">
      <alignment horizontal="right" vertical="center"/>
    </xf>
    <xf numFmtId="0" fontId="2" fillId="2" borderId="6" xfId="1" applyFill="1" applyBorder="1" applyAlignment="1">
      <alignment horizontal="right" vertical="center"/>
    </xf>
    <xf numFmtId="0" fontId="6" fillId="0" borderId="34" xfId="0" applyFont="1" applyBorder="1" applyAlignment="1">
      <alignment horizontal="left" vertical="center"/>
    </xf>
    <xf numFmtId="0" fontId="2" fillId="2" borderId="33" xfId="1" applyFill="1" applyBorder="1" applyAlignment="1">
      <alignment horizontal="center" vertical="center"/>
    </xf>
    <xf numFmtId="0" fontId="2" fillId="2" borderId="6" xfId="1" applyFill="1" applyBorder="1" applyAlignment="1">
      <alignment horizontal="center" vertical="center"/>
    </xf>
    <xf numFmtId="0" fontId="2" fillId="0" borderId="10" xfId="1" applyBorder="1" applyAlignment="1">
      <alignment horizontal="center" vertical="center"/>
    </xf>
    <xf numFmtId="0" fontId="2" fillId="2" borderId="7" xfId="1" applyFill="1" applyBorder="1" applyAlignment="1">
      <alignment horizontal="center" vertical="center"/>
    </xf>
    <xf numFmtId="0" fontId="2" fillId="0" borderId="0" xfId="1">
      <alignment vertical="center"/>
    </xf>
    <xf numFmtId="0" fontId="2" fillId="2" borderId="10" xfId="1" applyFill="1" applyBorder="1" applyAlignment="1">
      <alignment horizontal="center" vertical="center"/>
    </xf>
    <xf numFmtId="0" fontId="2" fillId="2" borderId="3" xfId="1" applyFill="1" applyBorder="1" applyAlignment="1">
      <alignment horizontal="center" vertical="center"/>
    </xf>
    <xf numFmtId="0" fontId="2" fillId="0" borderId="0" xfId="1">
      <alignment vertical="center"/>
    </xf>
    <xf numFmtId="0" fontId="2" fillId="0" borderId="9" xfId="1" applyFill="1" applyBorder="1" applyAlignment="1">
      <alignment horizontal="center" vertical="center"/>
    </xf>
    <xf numFmtId="0" fontId="2" fillId="0" borderId="13" xfId="1" applyFill="1" applyBorder="1" applyAlignment="1">
      <alignment horizontal="center" vertical="center"/>
    </xf>
    <xf numFmtId="0" fontId="2" fillId="0" borderId="9" xfId="1" applyFill="1" applyBorder="1" applyAlignment="1">
      <alignment horizontal="center" vertical="center" wrapText="1"/>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13" xfId="1" applyBorder="1" applyAlignment="1">
      <alignment horizontal="center" vertical="center"/>
    </xf>
    <xf numFmtId="0" fontId="2" fillId="0" borderId="16" xfId="1" applyFill="1" applyBorder="1" applyAlignment="1">
      <alignment horizontal="center" vertical="center"/>
    </xf>
    <xf numFmtId="0" fontId="2" fillId="0" borderId="13" xfId="1" applyBorder="1" applyAlignment="1">
      <alignment horizontal="center" vertical="center"/>
    </xf>
    <xf numFmtId="0" fontId="2" fillId="0" borderId="17" xfId="1" applyBorder="1" applyAlignment="1">
      <alignment horizontal="center" vertical="center"/>
    </xf>
    <xf numFmtId="0" fontId="2" fillId="0" borderId="28" xfId="1" applyFill="1" applyBorder="1" applyAlignment="1">
      <alignment horizontal="center" vertical="center"/>
    </xf>
    <xf numFmtId="0" fontId="2" fillId="0" borderId="35" xfId="1" applyBorder="1" applyAlignment="1">
      <alignment horizontal="center" vertical="center"/>
    </xf>
    <xf numFmtId="0" fontId="2" fillId="2" borderId="9" xfId="1" applyFill="1" applyBorder="1" applyAlignment="1">
      <alignment vertical="center"/>
    </xf>
    <xf numFmtId="180" fontId="2" fillId="0" borderId="9" xfId="1" applyNumberFormat="1" applyBorder="1" applyAlignment="1">
      <alignment vertical="center"/>
    </xf>
    <xf numFmtId="176" fontId="2" fillId="2" borderId="9" xfId="1" applyNumberFormat="1" applyFill="1" applyBorder="1" applyAlignment="1">
      <alignment vertical="center"/>
    </xf>
    <xf numFmtId="0" fontId="2" fillId="2" borderId="2" xfId="1" applyFill="1" applyBorder="1" applyAlignment="1">
      <alignment vertical="center"/>
    </xf>
    <xf numFmtId="180" fontId="2" fillId="0" borderId="2" xfId="1" applyNumberFormat="1" applyBorder="1" applyAlignment="1">
      <alignment vertical="center"/>
    </xf>
    <xf numFmtId="178" fontId="2" fillId="2" borderId="9" xfId="1" applyNumberFormat="1" applyFill="1" applyBorder="1" applyAlignment="1">
      <alignment horizontal="center" vertical="center"/>
    </xf>
    <xf numFmtId="178" fontId="2" fillId="2" borderId="2" xfId="1" applyNumberFormat="1" applyFill="1" applyBorder="1" applyAlignment="1">
      <alignment horizontal="center" vertical="center"/>
    </xf>
    <xf numFmtId="181" fontId="2" fillId="2" borderId="9" xfId="1" applyNumberFormat="1" applyFill="1" applyBorder="1" applyAlignment="1">
      <alignment vertical="center"/>
    </xf>
    <xf numFmtId="182" fontId="2" fillId="2" borderId="9" xfId="1" applyNumberFormat="1" applyFill="1" applyBorder="1" applyAlignment="1">
      <alignment vertical="center"/>
    </xf>
    <xf numFmtId="182" fontId="2" fillId="2" borderId="11" xfId="1" applyNumberFormat="1" applyFill="1" applyBorder="1" applyAlignment="1">
      <alignment vertical="center"/>
    </xf>
    <xf numFmtId="181" fontId="2" fillId="2" borderId="2" xfId="1" applyNumberFormat="1" applyFill="1" applyBorder="1" applyAlignment="1">
      <alignment vertical="center"/>
    </xf>
    <xf numFmtId="182" fontId="2" fillId="2" borderId="2" xfId="1" applyNumberFormat="1" applyFill="1" applyBorder="1" applyAlignment="1">
      <alignment vertical="center"/>
    </xf>
    <xf numFmtId="182" fontId="2" fillId="2" borderId="4" xfId="1" applyNumberFormat="1" applyFill="1" applyBorder="1" applyAlignment="1">
      <alignment vertical="center"/>
    </xf>
    <xf numFmtId="177" fontId="2" fillId="2" borderId="9" xfId="1" applyNumberFormat="1" applyFill="1" applyBorder="1" applyAlignment="1">
      <alignment horizontal="center" vertical="center"/>
    </xf>
    <xf numFmtId="182" fontId="2" fillId="2" borderId="28" xfId="1" applyNumberFormat="1" applyFill="1" applyBorder="1" applyAlignment="1">
      <alignment vertical="center"/>
    </xf>
    <xf numFmtId="182" fontId="2" fillId="2" borderId="33" xfId="1" applyNumberFormat="1" applyFill="1" applyBorder="1" applyAlignment="1">
      <alignment vertical="center"/>
    </xf>
    <xf numFmtId="0" fontId="2" fillId="0" borderId="36" xfId="1" applyBorder="1" applyAlignment="1">
      <alignment horizontal="center" vertical="center"/>
    </xf>
    <xf numFmtId="0" fontId="2" fillId="0" borderId="12" xfId="1" applyBorder="1" applyAlignment="1">
      <alignment horizontal="center" vertical="center"/>
    </xf>
    <xf numFmtId="182" fontId="2" fillId="2" borderId="37" xfId="1" applyNumberFormat="1" applyFill="1" applyBorder="1" applyAlignment="1">
      <alignment vertical="center"/>
    </xf>
    <xf numFmtId="0" fontId="2" fillId="0" borderId="5" xfId="1" applyBorder="1" applyAlignment="1">
      <alignment horizontal="center" vertical="center"/>
    </xf>
    <xf numFmtId="0" fontId="2" fillId="0" borderId="6" xfId="1" applyBorder="1" applyAlignment="1">
      <alignment horizontal="center" vertical="center"/>
    </xf>
    <xf numFmtId="0" fontId="2" fillId="0" borderId="20" xfId="1" applyBorder="1">
      <alignment vertical="center"/>
    </xf>
    <xf numFmtId="0" fontId="5" fillId="0" borderId="0" xfId="1" applyFont="1" applyAlignment="1">
      <alignment vertical="center"/>
    </xf>
    <xf numFmtId="0" fontId="2" fillId="0" borderId="18" xfId="1" applyFill="1" applyBorder="1" applyAlignment="1">
      <alignment horizontal="center" vertical="center"/>
    </xf>
    <xf numFmtId="0" fontId="2" fillId="0" borderId="16" xfId="1" applyFill="1" applyBorder="1" applyAlignment="1">
      <alignment horizontal="center" vertical="center"/>
    </xf>
    <xf numFmtId="0" fontId="2" fillId="0" borderId="13" xfId="1" applyBorder="1" applyAlignment="1">
      <alignment horizontal="center" vertical="center"/>
    </xf>
    <xf numFmtId="0" fontId="2" fillId="0" borderId="10" xfId="1" applyBorder="1" applyAlignment="1">
      <alignment horizontal="center" vertical="center"/>
    </xf>
    <xf numFmtId="0" fontId="2" fillId="0" borderId="18" xfId="1" applyBorder="1" applyAlignment="1">
      <alignment horizontal="center" vertical="center"/>
    </xf>
    <xf numFmtId="0" fontId="2" fillId="0" borderId="16" xfId="1" applyBorder="1" applyAlignment="1">
      <alignment horizontal="center" vertical="center"/>
    </xf>
    <xf numFmtId="0" fontId="2" fillId="0" borderId="9" xfId="1" applyFill="1" applyBorder="1" applyAlignment="1">
      <alignment horizontal="center" vertical="center"/>
    </xf>
    <xf numFmtId="0" fontId="2" fillId="0" borderId="18" xfId="1" applyFill="1" applyBorder="1" applyAlignment="1">
      <alignment horizontal="center" vertical="center" wrapText="1"/>
    </xf>
    <xf numFmtId="0" fontId="2" fillId="0" borderId="16" xfId="1" applyFill="1" applyBorder="1" applyAlignment="1">
      <alignment horizontal="center" vertical="center" wrapText="1"/>
    </xf>
    <xf numFmtId="0" fontId="2" fillId="0" borderId="23" xfId="1" applyBorder="1" applyAlignment="1">
      <alignment horizontal="center" vertical="center"/>
    </xf>
    <xf numFmtId="0" fontId="2" fillId="0" borderId="20" xfId="1" applyBorder="1" applyAlignment="1">
      <alignment horizontal="center" vertical="center"/>
    </xf>
    <xf numFmtId="0" fontId="2" fillId="0" borderId="22" xfId="1" applyBorder="1" applyAlignment="1">
      <alignment horizontal="center" vertical="center"/>
    </xf>
    <xf numFmtId="0" fontId="2" fillId="0" borderId="21" xfId="1" applyBorder="1" applyAlignment="1">
      <alignment horizontal="center" vertical="center"/>
    </xf>
    <xf numFmtId="0" fontId="2" fillId="0" borderId="29" xfId="1" applyFill="1" applyBorder="1" applyAlignment="1">
      <alignment horizontal="center" vertical="center"/>
    </xf>
    <xf numFmtId="0" fontId="2" fillId="0" borderId="26" xfId="1" applyFill="1" applyBorder="1" applyAlignment="1">
      <alignment horizontal="center" vertical="center"/>
    </xf>
    <xf numFmtId="0" fontId="2" fillId="0" borderId="31" xfId="1" applyBorder="1" applyAlignment="1">
      <alignment horizontal="center" vertical="center"/>
    </xf>
    <xf numFmtId="0" fontId="2" fillId="0" borderId="25" xfId="1" applyFill="1" applyBorder="1" applyAlignment="1">
      <alignment horizontal="center" vertical="center"/>
    </xf>
    <xf numFmtId="0" fontId="2" fillId="0" borderId="30" xfId="1" applyFill="1" applyBorder="1" applyAlignment="1">
      <alignment horizontal="center" vertical="center"/>
    </xf>
    <xf numFmtId="0" fontId="2" fillId="0" borderId="27" xfId="1" applyFill="1" applyBorder="1" applyAlignment="1">
      <alignment horizontal="center" vertical="center"/>
    </xf>
    <xf numFmtId="0" fontId="2" fillId="0" borderId="12" xfId="1" applyFill="1" applyBorder="1" applyAlignment="1">
      <alignment horizontal="center" vertical="center"/>
    </xf>
    <xf numFmtId="0" fontId="2" fillId="0" borderId="19" xfId="1" applyBorder="1" applyAlignment="1">
      <alignment horizontal="center" vertical="center"/>
    </xf>
    <xf numFmtId="0" fontId="2" fillId="0" borderId="29" xfId="1" applyBorder="1" applyAlignment="1">
      <alignment horizontal="center" vertical="center"/>
    </xf>
    <xf numFmtId="0" fontId="2" fillId="0" borderId="30" xfId="1" applyBorder="1" applyAlignment="1">
      <alignment horizontal="center" vertical="center"/>
    </xf>
    <xf numFmtId="0" fontId="2" fillId="0" borderId="9" xfId="1" applyFill="1" applyBorder="1" applyAlignment="1">
      <alignment horizontal="center" vertical="center" wrapText="1"/>
    </xf>
    <xf numFmtId="0" fontId="2" fillId="0" borderId="9" xfId="1" applyBorder="1" applyAlignment="1">
      <alignment horizontal="center" vertical="center"/>
    </xf>
    <xf numFmtId="0" fontId="2" fillId="0" borderId="13" xfId="1" applyFill="1" applyBorder="1" applyAlignment="1">
      <alignment horizontal="center" vertical="center"/>
    </xf>
    <xf numFmtId="0" fontId="2" fillId="0" borderId="28" xfId="1" applyFill="1" applyBorder="1" applyAlignment="1">
      <alignment horizontal="center" vertical="center"/>
    </xf>
    <xf numFmtId="0" fontId="2" fillId="0" borderId="10" xfId="1" applyFill="1" applyBorder="1" applyAlignment="1">
      <alignment horizontal="center" vertical="center"/>
    </xf>
    <xf numFmtId="0" fontId="2" fillId="0" borderId="35" xfId="1" applyBorder="1" applyAlignment="1">
      <alignment horizontal="center" vertical="center"/>
    </xf>
    <xf numFmtId="0" fontId="4" fillId="0" borderId="0" xfId="1" applyFont="1" applyAlignment="1">
      <alignment horizontal="left" vertical="center"/>
    </xf>
    <xf numFmtId="0" fontId="7" fillId="0" borderId="0" xfId="1" applyFont="1" applyAlignment="1">
      <alignment horizontal="left" vertical="center"/>
    </xf>
    <xf numFmtId="0" fontId="2" fillId="0" borderId="17" xfId="1" applyBorder="1" applyAlignment="1">
      <alignment horizontal="center" vertical="center"/>
    </xf>
    <xf numFmtId="0" fontId="2" fillId="0" borderId="15" xfId="1" applyBorder="1" applyAlignment="1">
      <alignment horizontal="center" vertical="center"/>
    </xf>
  </cellXfs>
  <cellStyles count="2">
    <cellStyle name="標準" xfId="0" builtinId="0"/>
    <cellStyle name="標準 2" xfId="1"/>
  </cellStyles>
  <dxfs count="5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patternType="none">
          <bgColor auto="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38"/>
  <sheetViews>
    <sheetView tabSelected="1" view="pageBreakPreview" topLeftCell="T1" zoomScaleNormal="90" zoomScaleSheetLayoutView="100" workbookViewId="0">
      <selection activeCell="AV11" sqref="AV11"/>
    </sheetView>
  </sheetViews>
  <sheetFormatPr defaultRowHeight="13.5" outlineLevelCol="1"/>
  <cols>
    <col min="1" max="1" width="2.625" style="7" customWidth="1"/>
    <col min="2" max="2" width="13.75" style="7" customWidth="1"/>
    <col min="3" max="4" width="11.625" style="38" hidden="1" customWidth="1" outlineLevel="1"/>
    <col min="5" max="5" width="8.125" style="7" customWidth="1" collapsed="1"/>
    <col min="6" max="6" width="7.375" style="7" customWidth="1"/>
    <col min="7" max="7" width="19" style="7" hidden="1" customWidth="1" outlineLevel="1"/>
    <col min="8" max="8" width="11.625" style="10" hidden="1" customWidth="1" outlineLevel="1"/>
    <col min="9" max="9" width="8.5" style="38" hidden="1" customWidth="1" outlineLevel="1"/>
    <col min="10" max="10" width="6.125" style="38" hidden="1" customWidth="1" outlineLevel="1"/>
    <col min="11" max="11" width="3.875" style="7" hidden="1" customWidth="1" outlineLevel="1"/>
    <col min="12" max="12" width="2.25" style="7" hidden="1" customWidth="1" outlineLevel="1"/>
    <col min="13" max="13" width="3" style="10" hidden="1" customWidth="1" outlineLevel="1"/>
    <col min="14" max="14" width="7.625" style="10" hidden="1" customWidth="1" outlineLevel="1"/>
    <col min="15" max="15" width="5.875" style="10" customWidth="1" collapsed="1"/>
    <col min="16" max="16" width="15.5" style="7" customWidth="1"/>
    <col min="17" max="17" width="5.5" style="9" bestFit="1" customWidth="1"/>
    <col min="18" max="18" width="8.75" style="8" bestFit="1" customWidth="1"/>
    <col min="19" max="19" width="11.75" style="7" bestFit="1" customWidth="1"/>
    <col min="20" max="20" width="6.125" style="7" bestFit="1" customWidth="1"/>
    <col min="21" max="21" width="10" style="10" hidden="1" customWidth="1" outlineLevel="1"/>
    <col min="22" max="22" width="13.875" style="7" bestFit="1" customWidth="1" collapsed="1"/>
    <col min="23" max="23" width="6.75" style="7" bestFit="1" customWidth="1"/>
    <col min="24" max="24" width="13.875" style="7" bestFit="1" customWidth="1"/>
    <col min="25" max="25" width="9.5" style="7" bestFit="1" customWidth="1"/>
    <col min="26" max="26" width="9.5" style="73" customWidth="1"/>
    <col min="27" max="27" width="11.75" style="7" bestFit="1" customWidth="1"/>
    <col min="28" max="28" width="8.5" style="10" hidden="1" customWidth="1" outlineLevel="1"/>
    <col min="29" max="29" width="7.25" style="10" hidden="1" customWidth="1" outlineLevel="1"/>
    <col min="30" max="30" width="17.375" style="10" hidden="1" customWidth="1" outlineLevel="1"/>
    <col min="31" max="31" width="8.375" style="10" hidden="1" customWidth="1" outlineLevel="1"/>
    <col min="32" max="32" width="13.125" style="10" hidden="1" customWidth="1" outlineLevel="1"/>
    <col min="33" max="33" width="11.125" style="7" bestFit="1" customWidth="1" collapsed="1"/>
    <col min="34" max="34" width="10.75" style="7" customWidth="1"/>
    <col min="35" max="35" width="7.25" style="7" bestFit="1" customWidth="1"/>
    <col min="36" max="36" width="10.375" style="7" bestFit="1" customWidth="1"/>
    <col min="37" max="37" width="6.125" style="7" bestFit="1" customWidth="1"/>
    <col min="38" max="38" width="7.25" style="7" bestFit="1" customWidth="1"/>
    <col min="39" max="39" width="10.375" style="7" bestFit="1" customWidth="1"/>
    <col min="40" max="40" width="10.375" style="76" customWidth="1"/>
    <col min="41" max="41" width="6.75" style="7" customWidth="1"/>
    <col min="42" max="42" width="6.75" style="10" customWidth="1"/>
    <col min="43" max="44" width="8" style="7" customWidth="1"/>
    <col min="45" max="45" width="10" style="7" bestFit="1" customWidth="1"/>
    <col min="46" max="46" width="7.125" style="7" bestFit="1" customWidth="1"/>
    <col min="47" max="47" width="7.125" style="76" customWidth="1"/>
    <col min="48" max="48" width="9.125" style="7" bestFit="1" customWidth="1"/>
    <col min="49" max="16384" width="9" style="7"/>
  </cols>
  <sheetData>
    <row r="1" spans="2:49" ht="14.25">
      <c r="B1" s="140" t="s">
        <v>36</v>
      </c>
      <c r="C1" s="140"/>
      <c r="D1" s="140"/>
      <c r="E1" s="140"/>
      <c r="F1" s="33"/>
      <c r="G1" s="110" t="s">
        <v>71</v>
      </c>
      <c r="H1" s="110"/>
      <c r="I1" s="110"/>
      <c r="J1" s="110"/>
      <c r="K1" s="110"/>
      <c r="L1" s="110"/>
      <c r="M1" s="110"/>
      <c r="N1" s="110"/>
      <c r="O1" s="110"/>
      <c r="P1" s="110"/>
      <c r="Q1" s="110"/>
      <c r="R1" s="110"/>
      <c r="S1" s="110"/>
      <c r="T1" s="110"/>
      <c r="U1" s="110"/>
      <c r="V1" s="110"/>
      <c r="W1" s="110"/>
      <c r="X1" s="110"/>
      <c r="Y1" s="110"/>
      <c r="Z1" s="110"/>
      <c r="AA1" s="32"/>
      <c r="AB1" s="32"/>
      <c r="AC1" s="32"/>
      <c r="AD1" s="32"/>
      <c r="AE1" s="32"/>
      <c r="AF1" s="32"/>
      <c r="AG1" s="32"/>
      <c r="AH1" s="32"/>
      <c r="AI1" s="32"/>
      <c r="AJ1" s="32"/>
      <c r="AK1" s="32"/>
      <c r="AL1" s="32"/>
      <c r="AM1" s="32"/>
      <c r="AN1" s="32"/>
      <c r="AO1" s="32"/>
      <c r="AP1" s="32"/>
      <c r="AQ1" s="32"/>
      <c r="AR1" s="32"/>
      <c r="AS1" s="32"/>
      <c r="AT1" s="32"/>
      <c r="AU1" s="32"/>
      <c r="AV1" s="32"/>
    </row>
    <row r="4" spans="2:49" ht="15" thickBot="1">
      <c r="B4" s="51" t="s">
        <v>35</v>
      </c>
      <c r="C4" s="51"/>
      <c r="D4" s="51"/>
      <c r="E4" s="51"/>
      <c r="F4" s="51"/>
      <c r="G4" s="51"/>
      <c r="H4" s="51"/>
      <c r="I4" s="51"/>
      <c r="J4" s="51"/>
      <c r="K4" s="51"/>
      <c r="L4" s="51"/>
      <c r="M4" s="51"/>
      <c r="N4" s="51"/>
      <c r="O4" s="51"/>
      <c r="P4" s="51"/>
      <c r="AW4" s="7" t="s">
        <v>64</v>
      </c>
    </row>
    <row r="5" spans="2:49">
      <c r="B5" s="120" t="s">
        <v>33</v>
      </c>
      <c r="C5" s="121"/>
      <c r="D5" s="121"/>
      <c r="E5" s="121"/>
      <c r="F5" s="121"/>
      <c r="G5" s="121"/>
      <c r="H5" s="121"/>
      <c r="I5" s="121"/>
      <c r="J5" s="121"/>
      <c r="K5" s="121"/>
      <c r="L5" s="121"/>
      <c r="M5" s="121"/>
      <c r="N5" s="121"/>
      <c r="O5" s="121"/>
      <c r="P5" s="121"/>
      <c r="Q5" s="121"/>
      <c r="R5" s="121"/>
      <c r="S5" s="121"/>
      <c r="T5" s="121"/>
      <c r="U5" s="121"/>
      <c r="V5" s="121"/>
      <c r="W5" s="121"/>
      <c r="X5" s="121"/>
      <c r="Y5" s="122" t="s">
        <v>72</v>
      </c>
      <c r="Z5" s="121"/>
      <c r="AA5" s="121"/>
      <c r="AB5" s="121"/>
      <c r="AC5" s="121"/>
      <c r="AD5" s="121"/>
      <c r="AE5" s="121"/>
      <c r="AF5" s="121"/>
      <c r="AG5" s="121"/>
      <c r="AH5" s="121"/>
      <c r="AI5" s="121"/>
      <c r="AJ5" s="121"/>
      <c r="AK5" s="121"/>
      <c r="AL5" s="121"/>
      <c r="AM5" s="123"/>
      <c r="AN5" s="104" t="s">
        <v>83</v>
      </c>
      <c r="AO5" s="121" t="s">
        <v>32</v>
      </c>
      <c r="AP5" s="121"/>
      <c r="AQ5" s="121"/>
      <c r="AR5" s="121"/>
      <c r="AS5" s="121"/>
      <c r="AT5" s="121"/>
      <c r="AU5" s="121"/>
      <c r="AV5" s="131"/>
      <c r="AW5" s="87" t="s">
        <v>63</v>
      </c>
    </row>
    <row r="6" spans="2:49">
      <c r="B6" s="41" t="s">
        <v>31</v>
      </c>
      <c r="C6" s="124" t="s">
        <v>51</v>
      </c>
      <c r="D6" s="125"/>
      <c r="E6" s="124" t="s">
        <v>38</v>
      </c>
      <c r="F6" s="127"/>
      <c r="G6" s="54"/>
      <c r="H6" s="117" t="s">
        <v>38</v>
      </c>
      <c r="I6" s="117"/>
      <c r="J6" s="117"/>
      <c r="K6" s="134" t="s">
        <v>41</v>
      </c>
      <c r="L6" s="134"/>
      <c r="M6" s="134"/>
      <c r="N6" s="134"/>
      <c r="O6" s="135" t="s">
        <v>42</v>
      </c>
      <c r="P6" s="135"/>
      <c r="Q6" s="117" t="s">
        <v>30</v>
      </c>
      <c r="R6" s="117"/>
      <c r="S6" s="42" t="s">
        <v>29</v>
      </c>
      <c r="T6" s="42" t="s">
        <v>23</v>
      </c>
      <c r="U6" s="118" t="s">
        <v>66</v>
      </c>
      <c r="V6" s="21" t="s">
        <v>28</v>
      </c>
      <c r="W6" s="21" t="s">
        <v>19</v>
      </c>
      <c r="X6" s="39" t="s">
        <v>27</v>
      </c>
      <c r="Y6" s="130" t="s">
        <v>26</v>
      </c>
      <c r="Z6" s="111" t="s">
        <v>65</v>
      </c>
      <c r="AA6" s="117" t="s">
        <v>22</v>
      </c>
      <c r="AB6" s="136" t="s">
        <v>48</v>
      </c>
      <c r="AC6" s="137"/>
      <c r="AD6" s="137"/>
      <c r="AE6" s="137"/>
      <c r="AF6" s="138"/>
      <c r="AG6" s="117" t="s">
        <v>25</v>
      </c>
      <c r="AH6" s="117"/>
      <c r="AI6" s="42" t="s">
        <v>24</v>
      </c>
      <c r="AJ6" s="42" t="s">
        <v>20</v>
      </c>
      <c r="AK6" s="42" t="s">
        <v>23</v>
      </c>
      <c r="AL6" s="42" t="s">
        <v>19</v>
      </c>
      <c r="AM6" s="28" t="s">
        <v>18</v>
      </c>
      <c r="AN6" s="86" t="s">
        <v>84</v>
      </c>
      <c r="AO6" s="126" t="s">
        <v>22</v>
      </c>
      <c r="AP6" s="114"/>
      <c r="AQ6" s="113" t="s">
        <v>21</v>
      </c>
      <c r="AR6" s="114"/>
      <c r="AS6" s="115" t="s">
        <v>20</v>
      </c>
      <c r="AT6" s="115" t="s">
        <v>19</v>
      </c>
      <c r="AU6" s="132" t="s">
        <v>18</v>
      </c>
      <c r="AV6" s="20" t="s">
        <v>86</v>
      </c>
      <c r="AW6" s="139" t="s">
        <v>62</v>
      </c>
    </row>
    <row r="7" spans="2:49">
      <c r="B7" s="41" t="s">
        <v>17</v>
      </c>
      <c r="C7" s="43" t="s">
        <v>11</v>
      </c>
      <c r="D7" s="43" t="s">
        <v>10</v>
      </c>
      <c r="E7" s="128"/>
      <c r="F7" s="129"/>
      <c r="G7" s="42" t="s">
        <v>40</v>
      </c>
      <c r="H7" s="58" t="s">
        <v>39</v>
      </c>
      <c r="I7" s="59"/>
      <c r="J7" s="34"/>
      <c r="K7" s="134"/>
      <c r="L7" s="134"/>
      <c r="M7" s="134"/>
      <c r="N7" s="134"/>
      <c r="O7" s="53" t="s">
        <v>47</v>
      </c>
      <c r="P7" s="53" t="s">
        <v>43</v>
      </c>
      <c r="Q7" s="42" t="s">
        <v>16</v>
      </c>
      <c r="R7" s="29" t="s">
        <v>13</v>
      </c>
      <c r="S7" s="42" t="s">
        <v>15</v>
      </c>
      <c r="T7" s="42" t="s">
        <v>14</v>
      </c>
      <c r="U7" s="119"/>
      <c r="V7" s="21" t="s">
        <v>12</v>
      </c>
      <c r="W7" s="21" t="s">
        <v>13</v>
      </c>
      <c r="X7" s="39" t="s">
        <v>12</v>
      </c>
      <c r="Y7" s="130"/>
      <c r="Z7" s="112"/>
      <c r="AA7" s="117"/>
      <c r="AB7" s="113" t="s">
        <v>49</v>
      </c>
      <c r="AC7" s="114"/>
      <c r="AD7" s="42" t="s">
        <v>40</v>
      </c>
      <c r="AE7" s="42" t="s">
        <v>39</v>
      </c>
      <c r="AF7" s="42" t="s">
        <v>52</v>
      </c>
      <c r="AG7" s="42" t="s">
        <v>11</v>
      </c>
      <c r="AH7" s="42" t="s">
        <v>10</v>
      </c>
      <c r="AI7" s="29" t="s">
        <v>13</v>
      </c>
      <c r="AJ7" s="42" t="s">
        <v>12</v>
      </c>
      <c r="AK7" s="42" t="s">
        <v>14</v>
      </c>
      <c r="AL7" s="42" t="s">
        <v>13</v>
      </c>
      <c r="AM7" s="28" t="s">
        <v>12</v>
      </c>
      <c r="AN7" s="86" t="s">
        <v>85</v>
      </c>
      <c r="AO7" s="105" t="s">
        <v>45</v>
      </c>
      <c r="AP7" s="40" t="s">
        <v>44</v>
      </c>
      <c r="AQ7" s="31" t="s">
        <v>11</v>
      </c>
      <c r="AR7" s="31" t="s">
        <v>10</v>
      </c>
      <c r="AS7" s="116"/>
      <c r="AT7" s="116"/>
      <c r="AU7" s="133"/>
      <c r="AV7" s="20" t="s">
        <v>87</v>
      </c>
      <c r="AW7" s="139"/>
    </row>
    <row r="8" spans="2:49">
      <c r="B8" s="60"/>
      <c r="C8" s="36" t="e">
        <f t="shared" ref="C8:C11" si="0">(B8*(10^6)-H8/2)*10^-6</f>
        <v>#N/A</v>
      </c>
      <c r="D8" s="65" t="e">
        <f t="shared" ref="D8:D11" si="1">(B8*(10^6)+H8/2)*10^-6</f>
        <v>#N/A</v>
      </c>
      <c r="E8" s="66"/>
      <c r="F8" s="37"/>
      <c r="G8" s="56" t="e">
        <f>VLOOKUP(F8,計算用シート!$A$1:$C$4,3,FALSE)</f>
        <v>#N/A</v>
      </c>
      <c r="H8" s="56" t="e">
        <f>E8*G8</f>
        <v>#N/A</v>
      </c>
      <c r="I8" s="31" t="e">
        <f>IF(H8&lt;(10^3),H8,IF(H8&lt;(10^6),H8/(10^3),IF(H8&lt;(10^9),H8/(10^6),IF(H8&gt;=(10^9),H8/(10^9),"エラー"))))</f>
        <v>#N/A</v>
      </c>
      <c r="J8" s="56" t="e">
        <f>IF(H8&lt;(10^3),計算用シート!$A$1,IF(H8&lt;(10^6),計算用シート!$A$2,IF(H8&lt;(10^9),計算用シート!$A$3,IF(H8&gt;=(10^9),計算用シート!$A$4,"エラー"))))</f>
        <v>#N/A</v>
      </c>
      <c r="K8" s="57" t="e">
        <f>IF(100&gt;ROUNDUP(ROUNDDOWN(ROUNDUP((I8-INT(I8))*100,12),11),0),INT(I8),IF(1000&lt;=INT(I8)+1,1,INT(I8)+1))</f>
        <v>#N/A</v>
      </c>
      <c r="L8" s="56" t="e">
        <f>IF(1000&gt;INT(I8)+1,VLOOKUP(J8,計算用シート!$A$1:$B$4,2,FALSE),INDEX(計算用シート!$B$1:$B$4,MATCH(J8,計算用シート!A1:A4,0)+1))</f>
        <v>#N/A</v>
      </c>
      <c r="M8" s="56" t="e">
        <f>IF(ROUNDUP(ROUNDDOWN(ROUNDUP((I8-INT(I8))*100,12),11),0)=0,0,IF(ROUNDUP(ROUNDDOWN(ROUNDUP((I8-INT(I8))*100,12),11),0)&gt;=100,0,IF(ROUNDUP(ROUNDDOWN(ROUNDUP((I8-INT(I8))*100,12),11),0)&lt;10,10,ROUNDUP(ROUNDDOWN(ROUNDUP((I8-INT(I8))*100,12),11),0))))</f>
        <v>#N/A</v>
      </c>
      <c r="N8" s="56" t="e">
        <f>K8&amp;L8&amp;M8&amp;0</f>
        <v>#N/A</v>
      </c>
      <c r="O8" s="22"/>
      <c r="P8" s="22" t="e">
        <f>LEFT(N8,4)&amp;O8</f>
        <v>#N/A</v>
      </c>
      <c r="Q8" s="88"/>
      <c r="R8" s="89" t="e">
        <f>10*LOG(Q8)</f>
        <v>#NUM!</v>
      </c>
      <c r="S8" s="27"/>
      <c r="T8" s="23"/>
      <c r="U8" s="23">
        <f>IF(B8&lt;15000,4000,1000000)</f>
        <v>4000</v>
      </c>
      <c r="V8" s="35" t="e">
        <f>R8-S8-10*LOG(U8)</f>
        <v>#NUM!</v>
      </c>
      <c r="W8" s="26" t="e">
        <f>R8-S8+T8</f>
        <v>#NUM!</v>
      </c>
      <c r="X8" s="25" t="e">
        <f>V8+T8</f>
        <v>#NUM!</v>
      </c>
      <c r="Y8" s="24"/>
      <c r="Z8" s="74"/>
      <c r="AA8" s="22"/>
      <c r="AB8" s="23" t="str">
        <f>SUBSTITUTE(SUBSTITUTE(SUBSTITUTE(SUBSTITUTE(LEFT(AA8,4),"H","."),"K","."),"M","."),"G",".")</f>
        <v/>
      </c>
      <c r="AC8" s="23" t="str">
        <f>SUBSTITUTE(SUBSTITUTE(SUBSTITUTE(SUBSTITUTE(SUBSTITUTE(SUBSTITUTE(SUBSTITUTE(SUBSTITUTE(SUBSTITUTE(SUBSTITUTE(LEFT(AA8,4),"0",""),"1",""),"2",""),"3",""),"4",""),"5",""),"6",""),"7",""),"8",""),"9","")</f>
        <v/>
      </c>
      <c r="AD8" s="23" t="e">
        <f>VLOOKUP(AC8,計算用シート!$B$1:$C$4,2,FALSE)</f>
        <v>#N/A</v>
      </c>
      <c r="AE8" s="23" t="e">
        <f t="shared" ref="AE8:AE11" si="2">AB8*AD8</f>
        <v>#VALUE!</v>
      </c>
      <c r="AF8" s="23" t="str">
        <f>RIGHT(AA8,3)</f>
        <v/>
      </c>
      <c r="AG8" s="93"/>
      <c r="AH8" s="93"/>
      <c r="AI8" s="95"/>
      <c r="AJ8" s="95"/>
      <c r="AK8" s="95"/>
      <c r="AL8" s="96">
        <f>AI8+AK8</f>
        <v>0</v>
      </c>
      <c r="AM8" s="97">
        <f>AJ8+AK8</f>
        <v>0</v>
      </c>
      <c r="AN8" s="102"/>
      <c r="AO8" s="105" t="e">
        <f>IF(H8&lt;=AE8,"〇","×")</f>
        <v>#N/A</v>
      </c>
      <c r="AP8" s="40" t="str">
        <f>IF(O8="","#N/A",IF(O8=AF8,"〇","×"))</f>
        <v>#N/A</v>
      </c>
      <c r="AQ8" s="21" t="e">
        <f>IF(C8&gt;=AG8,"〇","×")</f>
        <v>#N/A</v>
      </c>
      <c r="AR8" s="21" t="e">
        <f>IF(D8&lt;=AH8,"〇","×")</f>
        <v>#N/A</v>
      </c>
      <c r="AS8" s="21" t="e">
        <f>IF(V8&lt;=AJ8,"〇","×")</f>
        <v>#NUM!</v>
      </c>
      <c r="AT8" s="21" t="e">
        <f>IF(W8&lt;=AL8,"〇","×")</f>
        <v>#NUM!</v>
      </c>
      <c r="AU8" s="84" t="e">
        <f>IF(W8&lt;=AL8,"〇","×")</f>
        <v>#NUM!</v>
      </c>
      <c r="AV8" s="20" t="str">
        <f>IF(AL8&lt;=AN8,"〇","×")</f>
        <v>〇</v>
      </c>
      <c r="AW8" s="45" t="e">
        <f>IF((R8-S8)&lt;=AI8,"〇","×")</f>
        <v>#NUM!</v>
      </c>
    </row>
    <row r="9" spans="2:49">
      <c r="B9" s="60"/>
      <c r="C9" s="36" t="e">
        <f t="shared" si="0"/>
        <v>#N/A</v>
      </c>
      <c r="D9" s="65" t="e">
        <f t="shared" si="1"/>
        <v>#N/A</v>
      </c>
      <c r="E9" s="66"/>
      <c r="F9" s="37"/>
      <c r="G9" s="56" t="e">
        <f>VLOOKUP(F9,計算用シート!$A$1:$C$4,3,FALSE)</f>
        <v>#N/A</v>
      </c>
      <c r="H9" s="56" t="e">
        <f>E9*G9</f>
        <v>#N/A</v>
      </c>
      <c r="I9" s="31" t="e">
        <f t="shared" ref="I9:I11" si="3">IF(H9&lt;(10^3),H9,IF(H9&lt;(10^6),H9/(10^3),IF(H9&lt;(10^9),H9/(10^6),IF(H9&gt;=(10^9),H9/(10^9),"エラー"))))</f>
        <v>#N/A</v>
      </c>
      <c r="J9" s="56" t="e">
        <f>IF(H9&lt;(10^3),計算用シート!$A$1,IF(H9&lt;(10^6),計算用シート!$A$2,IF(H9&lt;(10^9),計算用シート!$A$3,IF(H9&gt;=(10^9),計算用シート!$A$4,"エラー"))))</f>
        <v>#N/A</v>
      </c>
      <c r="K9" s="57" t="e">
        <f>IF(100&gt;ROUNDUP(ROUNDDOWN(ROUNDUP((I9-INT(I9))*100,12),11),0),INT(I9),IF(1000&lt;=INT(I9)+1,1,INT(I9)+1))</f>
        <v>#N/A</v>
      </c>
      <c r="L9" s="56" t="e">
        <f>IF(1000&gt;INT(I9)+1,VLOOKUP(J9,計算用シート!$A$1:$B$4,2,FALSE),INDEX(計算用シート!$B$1:$B$4,MATCH(J9,計算用シート!J11:J14,0)+1))</f>
        <v>#N/A</v>
      </c>
      <c r="M9" s="56" t="e">
        <f>IF(ROUNDUP(ROUNDDOWN(ROUNDUP((I9-INT(I9))*100,12),11),0)=0,0,IF(ROUNDUP(ROUNDDOWN(ROUNDUP((I9-INT(I9))*100,12),11),0)&gt;=100,0,IF(ROUNDUP(ROUNDDOWN(ROUNDUP((I9-INT(I9))*100,12),11),0)&lt;10,10,ROUNDUP(ROUNDDOWN(ROUNDUP((I9-INT(I9))*100,12),11),0))))</f>
        <v>#N/A</v>
      </c>
      <c r="N9" s="56" t="e">
        <f t="shared" ref="N9:N11" si="4">K9&amp;L9&amp;M9&amp;0</f>
        <v>#N/A</v>
      </c>
      <c r="O9" s="22"/>
      <c r="P9" s="22" t="e">
        <f t="shared" ref="P9:P11" si="5">LEFT(N9,4)&amp;O9</f>
        <v>#N/A</v>
      </c>
      <c r="Q9" s="88"/>
      <c r="R9" s="89" t="e">
        <f>10*LOG(Q9)</f>
        <v>#NUM!</v>
      </c>
      <c r="S9" s="27"/>
      <c r="T9" s="23"/>
      <c r="U9" s="23">
        <f>IF(B9&lt;15000,4000,1000000)</f>
        <v>4000</v>
      </c>
      <c r="V9" s="35" t="e">
        <f>R9-S9-10*LOG(U9)</f>
        <v>#NUM!</v>
      </c>
      <c r="W9" s="26" t="e">
        <f>R9-S9+T9</f>
        <v>#NUM!</v>
      </c>
      <c r="X9" s="25" t="e">
        <f t="shared" ref="X9:X11" si="6">V9+T9</f>
        <v>#NUM!</v>
      </c>
      <c r="Y9" s="24"/>
      <c r="Z9" s="74"/>
      <c r="AA9" s="22"/>
      <c r="AB9" s="23" t="str">
        <f t="shared" ref="AB9:AB11" si="7">SUBSTITUTE(SUBSTITUTE(SUBSTITUTE(SUBSTITUTE(LEFT(AA9,4),"H","."),"K","."),"M","."),"G",".")</f>
        <v/>
      </c>
      <c r="AC9" s="23" t="str">
        <f t="shared" ref="AC9:AC11" si="8">SUBSTITUTE(SUBSTITUTE(SUBSTITUTE(SUBSTITUTE(SUBSTITUTE(SUBSTITUTE(SUBSTITUTE(SUBSTITUTE(SUBSTITUTE(SUBSTITUTE(LEFT(AA9,4),"0",""),"1",""),"2",""),"3",""),"4",""),"5",""),"6",""),"7",""),"8",""),"9","")</f>
        <v/>
      </c>
      <c r="AD9" s="23" t="e">
        <f>VLOOKUP(AC9,計算用シート!$B$1:$C$4,2,FALSE)</f>
        <v>#N/A</v>
      </c>
      <c r="AE9" s="23" t="e">
        <f>AB9*AD9</f>
        <v>#VALUE!</v>
      </c>
      <c r="AF9" s="23" t="str">
        <f t="shared" ref="AF9:AF11" si="9">RIGHT(AA9,3)</f>
        <v/>
      </c>
      <c r="AG9" s="93"/>
      <c r="AH9" s="93"/>
      <c r="AI9" s="95"/>
      <c r="AJ9" s="95"/>
      <c r="AK9" s="95"/>
      <c r="AL9" s="96">
        <f t="shared" ref="AL9:AL10" si="10">AI9+AK9</f>
        <v>0</v>
      </c>
      <c r="AM9" s="97">
        <f t="shared" ref="AM9:AM11" si="11">AJ9+AK9</f>
        <v>0</v>
      </c>
      <c r="AN9" s="102"/>
      <c r="AO9" s="105" t="e">
        <f t="shared" ref="AO9:AO11" si="12">IF(H9&lt;=AE9,"〇","×")</f>
        <v>#N/A</v>
      </c>
      <c r="AP9" s="71" t="str">
        <f t="shared" ref="AP9" si="13">IF(O9="","#N/A",IF(O9=AF9,"〇","×"))</f>
        <v>#N/A</v>
      </c>
      <c r="AQ9" s="21" t="e">
        <f t="shared" ref="AQ9:AQ11" si="14">IF(C9&gt;=AG9,"〇","×")</f>
        <v>#N/A</v>
      </c>
      <c r="AR9" s="21" t="e">
        <f t="shared" ref="AR9:AR11" si="15">IF(D9&lt;=AH9,"〇","×")</f>
        <v>#N/A</v>
      </c>
      <c r="AS9" s="21" t="e">
        <f>IF(V9&lt;=AJ9,"〇","×")</f>
        <v>#NUM!</v>
      </c>
      <c r="AT9" s="21" t="e">
        <f t="shared" ref="AT9:AT11" si="16">IF(W9&lt;=AL9,"〇","×")</f>
        <v>#NUM!</v>
      </c>
      <c r="AU9" s="84" t="e">
        <f>IF(W9&lt;=AL9,"〇","×")</f>
        <v>#NUM!</v>
      </c>
      <c r="AV9" s="20" t="str">
        <f>IF(AL9&lt;=AN9,"〇","×")</f>
        <v>〇</v>
      </c>
      <c r="AW9" s="45" t="e">
        <f t="shared" ref="AW9:AW11" si="17">IF((R9-S9)&lt;=AI9,"〇","×")</f>
        <v>#NUM!</v>
      </c>
    </row>
    <row r="10" spans="2:49">
      <c r="B10" s="60"/>
      <c r="C10" s="36" t="e">
        <f t="shared" si="0"/>
        <v>#N/A</v>
      </c>
      <c r="D10" s="65" t="e">
        <f t="shared" si="1"/>
        <v>#N/A</v>
      </c>
      <c r="E10" s="66"/>
      <c r="F10" s="37"/>
      <c r="G10" s="56" t="e">
        <f>VLOOKUP(F10,計算用シート!$A$1:$C$4,3,FALSE)</f>
        <v>#N/A</v>
      </c>
      <c r="H10" s="56" t="e">
        <f t="shared" ref="H10:H11" si="18">E10*G10</f>
        <v>#N/A</v>
      </c>
      <c r="I10" s="31" t="e">
        <f t="shared" si="3"/>
        <v>#N/A</v>
      </c>
      <c r="J10" s="56" t="e">
        <f>IF(H10&lt;(10^3),計算用シート!$A$1,IF(H10&lt;(10^6),計算用シート!$A$2,IF(H10&lt;(10^9),計算用シート!$A$3,IF(H10&gt;=(10^9),計算用シート!$A$4,"エラー"))))</f>
        <v>#N/A</v>
      </c>
      <c r="K10" s="57" t="e">
        <f t="shared" ref="K10:K11" si="19">IF(100&gt;ROUNDUP(ROUNDDOWN(ROUNDUP((I10-INT(I10))*100,12),11),0),INT(I10),IF(1000&lt;=INT(I10)+1,1,INT(I10)+1))</f>
        <v>#N/A</v>
      </c>
      <c r="L10" s="56" t="e">
        <f>IF(1000&gt;INT(I10)+1,VLOOKUP(J10,計算用シート!$A$1:$B$4,2,FALSE),INDEX(計算用シート!$B$1:$B$4,MATCH(J10,計算用シート!J12:J15,0)+1))</f>
        <v>#N/A</v>
      </c>
      <c r="M10" s="56" t="e">
        <f>IF(ROUNDUP(ROUNDDOWN(ROUNDUP((I10-INT(I10))*100,12),11),0)=0,0,IF(ROUNDUP(ROUNDDOWN(ROUNDUP((I10-INT(I10))*100,12),11),0)&gt;=100,0,IF(ROUNDUP(ROUNDDOWN(ROUNDUP((I10-INT(I10))*100,12),11),0)&lt;10,10,ROUNDUP(ROUNDDOWN(ROUNDUP((I10-INT(I10))*100,12),11),0))))</f>
        <v>#N/A</v>
      </c>
      <c r="N10" s="56" t="e">
        <f t="shared" si="4"/>
        <v>#N/A</v>
      </c>
      <c r="O10" s="22"/>
      <c r="P10" s="22" t="e">
        <f t="shared" si="5"/>
        <v>#N/A</v>
      </c>
      <c r="Q10" s="88"/>
      <c r="R10" s="89" t="e">
        <f>10*LOG(Q10)</f>
        <v>#NUM!</v>
      </c>
      <c r="S10" s="27"/>
      <c r="T10" s="23"/>
      <c r="U10" s="23">
        <f>IF(B10&lt;15000,4000,1000000)</f>
        <v>4000</v>
      </c>
      <c r="V10" s="35" t="e">
        <f>R10-S10-10*LOG(U10)</f>
        <v>#NUM!</v>
      </c>
      <c r="W10" s="26" t="e">
        <f>R10-S10+T10</f>
        <v>#NUM!</v>
      </c>
      <c r="X10" s="25" t="e">
        <f t="shared" si="6"/>
        <v>#NUM!</v>
      </c>
      <c r="Y10" s="24"/>
      <c r="Z10" s="74"/>
      <c r="AA10" s="22"/>
      <c r="AB10" s="23" t="str">
        <f t="shared" si="7"/>
        <v/>
      </c>
      <c r="AC10" s="23" t="str">
        <f t="shared" si="8"/>
        <v/>
      </c>
      <c r="AD10" s="23" t="e">
        <f>VLOOKUP(AC10,計算用シート!$B$1:$C$4,2,FALSE)</f>
        <v>#N/A</v>
      </c>
      <c r="AE10" s="23" t="e">
        <f t="shared" si="2"/>
        <v>#VALUE!</v>
      </c>
      <c r="AF10" s="23" t="str">
        <f t="shared" si="9"/>
        <v/>
      </c>
      <c r="AG10" s="93"/>
      <c r="AH10" s="93"/>
      <c r="AI10" s="95"/>
      <c r="AJ10" s="95"/>
      <c r="AK10" s="95"/>
      <c r="AL10" s="96">
        <f t="shared" si="10"/>
        <v>0</v>
      </c>
      <c r="AM10" s="97">
        <f t="shared" si="11"/>
        <v>0</v>
      </c>
      <c r="AN10" s="102"/>
      <c r="AO10" s="105" t="e">
        <f t="shared" si="12"/>
        <v>#N/A</v>
      </c>
      <c r="AP10" s="71" t="str">
        <f>IF(O10="","#N/A",IF(O10=AF10,"〇","×"))</f>
        <v>#N/A</v>
      </c>
      <c r="AQ10" s="21" t="e">
        <f t="shared" si="14"/>
        <v>#N/A</v>
      </c>
      <c r="AR10" s="21" t="e">
        <f t="shared" si="15"/>
        <v>#N/A</v>
      </c>
      <c r="AS10" s="21" t="e">
        <f t="shared" ref="AS10:AS11" si="20">IF(V10&lt;=AJ10,"〇","×")</f>
        <v>#NUM!</v>
      </c>
      <c r="AT10" s="21" t="e">
        <f t="shared" si="16"/>
        <v>#NUM!</v>
      </c>
      <c r="AU10" s="84" t="e">
        <f>IF(W10&lt;=AL10,"〇","×")</f>
        <v>#NUM!</v>
      </c>
      <c r="AV10" s="20" t="str">
        <f t="shared" ref="AV10:AV11" si="21">IF(AL10&lt;=AN10,"〇","×")</f>
        <v>〇</v>
      </c>
      <c r="AW10" s="45" t="e">
        <f t="shared" si="17"/>
        <v>#NUM!</v>
      </c>
    </row>
    <row r="11" spans="2:49" ht="14.25" thickBot="1">
      <c r="B11" s="72"/>
      <c r="C11" s="69" t="e">
        <f t="shared" si="0"/>
        <v>#N/A</v>
      </c>
      <c r="D11" s="70" t="e">
        <f t="shared" si="1"/>
        <v>#N/A</v>
      </c>
      <c r="E11" s="67"/>
      <c r="F11" s="68"/>
      <c r="G11" s="61" t="e">
        <f>VLOOKUP(F11,計算用シート!$A$1:$C$4,3,FALSE)</f>
        <v>#N/A</v>
      </c>
      <c r="H11" s="61" t="e">
        <f t="shared" si="18"/>
        <v>#N/A</v>
      </c>
      <c r="I11" s="62" t="e">
        <f t="shared" si="3"/>
        <v>#N/A</v>
      </c>
      <c r="J11" s="61" t="e">
        <f>IF(H11&lt;(10^3),計算用シート!$A$1,IF(H11&lt;(10^6),計算用シート!$A$2,IF(H11&lt;(10^9),計算用シート!$A$3,IF(H11&gt;=(10^9),計算用シート!$A$4,"エラー"))))</f>
        <v>#N/A</v>
      </c>
      <c r="K11" s="63" t="e">
        <f t="shared" si="19"/>
        <v>#N/A</v>
      </c>
      <c r="L11" s="61" t="e">
        <f>IF(1000&gt;INT(I11)+1,VLOOKUP(J11,計算用シート!$A$1:$B$4,2,FALSE),INDEX(計算用シート!$B$1:$B$4,MATCH(J11,計算用シート!J13:J16,0)+1))</f>
        <v>#N/A</v>
      </c>
      <c r="M11" s="61" t="e">
        <f>IF(ROUNDUP(ROUNDDOWN(ROUNDUP((I11-INT(I11))*100,12),11),0)=0,0,IF(ROUNDUP(ROUNDDOWN(ROUNDUP((I11-INT(I11))*100,12),11),0)&gt;=100,0,IF(ROUNDUP(ROUNDDOWN(ROUNDUP((I11-INT(I11))*100,12),11),0)&lt;10,10,ROUNDUP(ROUNDDOWN(ROUNDUP((I11-INT(I11))*100,12),11),0))))</f>
        <v>#N/A</v>
      </c>
      <c r="N11" s="61" t="e">
        <f t="shared" si="4"/>
        <v>#N/A</v>
      </c>
      <c r="O11" s="14"/>
      <c r="P11" s="14" t="e">
        <f t="shared" si="5"/>
        <v>#N/A</v>
      </c>
      <c r="Q11" s="91"/>
      <c r="R11" s="92" t="e">
        <f>10*LOG(Q11)</f>
        <v>#NUM!</v>
      </c>
      <c r="S11" s="19"/>
      <c r="T11" s="15"/>
      <c r="U11" s="15">
        <f>IF(B11&lt;15000,4000,1000000)</f>
        <v>4000</v>
      </c>
      <c r="V11" s="64" t="e">
        <f t="shared" ref="V11" si="22">R11-S11-10*LOG(U11)</f>
        <v>#NUM!</v>
      </c>
      <c r="W11" s="18" t="e">
        <f>R11-S11+T11</f>
        <v>#NUM!</v>
      </c>
      <c r="X11" s="17" t="e">
        <f t="shared" si="6"/>
        <v>#NUM!</v>
      </c>
      <c r="Y11" s="16"/>
      <c r="Z11" s="75"/>
      <c r="AA11" s="14"/>
      <c r="AB11" s="15" t="str">
        <f t="shared" si="7"/>
        <v/>
      </c>
      <c r="AC11" s="15" t="str">
        <f t="shared" si="8"/>
        <v/>
      </c>
      <c r="AD11" s="15" t="e">
        <f>VLOOKUP(AC11,計算用シート!$B$1:$C$4,2,FALSE)</f>
        <v>#N/A</v>
      </c>
      <c r="AE11" s="15" t="e">
        <f t="shared" si="2"/>
        <v>#VALUE!</v>
      </c>
      <c r="AF11" s="15" t="str">
        <f t="shared" si="9"/>
        <v/>
      </c>
      <c r="AG11" s="94"/>
      <c r="AH11" s="94"/>
      <c r="AI11" s="98"/>
      <c r="AJ11" s="98"/>
      <c r="AK11" s="98"/>
      <c r="AL11" s="99">
        <f>AI11+AK11</f>
        <v>0</v>
      </c>
      <c r="AM11" s="100">
        <f t="shared" si="11"/>
        <v>0</v>
      </c>
      <c r="AN11" s="106"/>
      <c r="AO11" s="13" t="e">
        <f t="shared" si="12"/>
        <v>#N/A</v>
      </c>
      <c r="AP11" s="13" t="str">
        <f>IF(O11="","#N/A",IF(O11=AF11,"〇","×"))</f>
        <v>#N/A</v>
      </c>
      <c r="AQ11" s="12" t="e">
        <f t="shared" si="14"/>
        <v>#N/A</v>
      </c>
      <c r="AR11" s="12" t="e">
        <f t="shared" si="15"/>
        <v>#N/A</v>
      </c>
      <c r="AS11" s="12" t="e">
        <f t="shared" si="20"/>
        <v>#NUM!</v>
      </c>
      <c r="AT11" s="12" t="e">
        <f t="shared" si="16"/>
        <v>#NUM!</v>
      </c>
      <c r="AU11" s="108" t="e">
        <f>IF(W11&lt;=AL11,"〇","×")</f>
        <v>#NUM!</v>
      </c>
      <c r="AV11" s="85" t="str">
        <f t="shared" si="21"/>
        <v>〇</v>
      </c>
      <c r="AW11" s="87" t="e">
        <f t="shared" si="17"/>
        <v>#NUM!</v>
      </c>
    </row>
    <row r="12" spans="2:49">
      <c r="F12" s="38"/>
      <c r="V12" s="38"/>
      <c r="AI12" s="30"/>
      <c r="AJ12" s="30"/>
      <c r="AK12" s="30"/>
      <c r="AL12" s="30"/>
      <c r="AM12" s="30"/>
      <c r="AN12" s="45"/>
      <c r="AV12" s="109"/>
    </row>
    <row r="13" spans="2:49">
      <c r="F13" s="38" t="s">
        <v>50</v>
      </c>
    </row>
    <row r="14" spans="2:49" ht="15" thickBot="1">
      <c r="B14" s="51" t="s">
        <v>34</v>
      </c>
      <c r="C14" s="51"/>
      <c r="D14" s="51"/>
      <c r="E14" s="51"/>
      <c r="F14" s="51"/>
      <c r="G14" s="51"/>
      <c r="H14" s="51"/>
      <c r="I14" s="51"/>
      <c r="J14" s="51"/>
      <c r="K14" s="51"/>
      <c r="L14" s="51"/>
      <c r="M14" s="51"/>
      <c r="N14" s="51"/>
      <c r="O14" s="51"/>
      <c r="P14" s="51"/>
      <c r="U14" s="10" t="s">
        <v>46</v>
      </c>
    </row>
    <row r="15" spans="2:49" s="49" customFormat="1">
      <c r="B15" s="120" t="s">
        <v>33</v>
      </c>
      <c r="C15" s="121"/>
      <c r="D15" s="121"/>
      <c r="E15" s="121"/>
      <c r="F15" s="121"/>
      <c r="G15" s="121"/>
      <c r="H15" s="121"/>
      <c r="I15" s="121"/>
      <c r="J15" s="121"/>
      <c r="K15" s="121"/>
      <c r="L15" s="121"/>
      <c r="M15" s="121"/>
      <c r="N15" s="121"/>
      <c r="O15" s="121"/>
      <c r="P15" s="121"/>
      <c r="Q15" s="121"/>
      <c r="R15" s="121"/>
      <c r="S15" s="121"/>
      <c r="T15" s="121"/>
      <c r="U15" s="121"/>
      <c r="V15" s="121"/>
      <c r="W15" s="121"/>
      <c r="X15" s="121"/>
      <c r="Y15" s="122" t="s">
        <v>72</v>
      </c>
      <c r="Z15" s="121"/>
      <c r="AA15" s="121"/>
      <c r="AB15" s="121"/>
      <c r="AC15" s="121"/>
      <c r="AD15" s="121"/>
      <c r="AE15" s="121"/>
      <c r="AF15" s="121"/>
      <c r="AG15" s="121"/>
      <c r="AH15" s="121"/>
      <c r="AI15" s="121"/>
      <c r="AJ15" s="121"/>
      <c r="AK15" s="121"/>
      <c r="AL15" s="121"/>
      <c r="AM15" s="123"/>
      <c r="AN15" s="104" t="s">
        <v>83</v>
      </c>
      <c r="AO15" s="121" t="s">
        <v>32</v>
      </c>
      <c r="AP15" s="121"/>
      <c r="AQ15" s="121"/>
      <c r="AR15" s="121"/>
      <c r="AS15" s="121"/>
      <c r="AT15" s="121"/>
      <c r="AU15" s="121"/>
      <c r="AV15" s="131"/>
      <c r="AW15" s="87" t="s">
        <v>63</v>
      </c>
    </row>
    <row r="16" spans="2:49" s="49" customFormat="1">
      <c r="B16" s="50" t="s">
        <v>31</v>
      </c>
      <c r="C16" s="124" t="s">
        <v>51</v>
      </c>
      <c r="D16" s="125"/>
      <c r="E16" s="124" t="s">
        <v>38</v>
      </c>
      <c r="F16" s="127"/>
      <c r="G16" s="54"/>
      <c r="H16" s="117" t="s">
        <v>38</v>
      </c>
      <c r="I16" s="117"/>
      <c r="J16" s="117"/>
      <c r="K16" s="134" t="s">
        <v>41</v>
      </c>
      <c r="L16" s="134"/>
      <c r="M16" s="134"/>
      <c r="N16" s="134"/>
      <c r="O16" s="135" t="s">
        <v>37</v>
      </c>
      <c r="P16" s="135"/>
      <c r="Q16" s="117" t="s">
        <v>30</v>
      </c>
      <c r="R16" s="117"/>
      <c r="S16" s="44" t="s">
        <v>29</v>
      </c>
      <c r="T16" s="44" t="s">
        <v>23</v>
      </c>
      <c r="U16" s="118" t="s">
        <v>66</v>
      </c>
      <c r="V16" s="52" t="s">
        <v>28</v>
      </c>
      <c r="W16" s="52" t="s">
        <v>19</v>
      </c>
      <c r="X16" s="48" t="s">
        <v>27</v>
      </c>
      <c r="Y16" s="130" t="s">
        <v>26</v>
      </c>
      <c r="Z16" s="111" t="s">
        <v>65</v>
      </c>
      <c r="AA16" s="117" t="s">
        <v>22</v>
      </c>
      <c r="AB16" s="136" t="s">
        <v>48</v>
      </c>
      <c r="AC16" s="137"/>
      <c r="AD16" s="137"/>
      <c r="AE16" s="137"/>
      <c r="AF16" s="138"/>
      <c r="AG16" s="117" t="s">
        <v>25</v>
      </c>
      <c r="AH16" s="117"/>
      <c r="AI16" s="44" t="s">
        <v>24</v>
      </c>
      <c r="AJ16" s="44" t="s">
        <v>20</v>
      </c>
      <c r="AK16" s="44" t="s">
        <v>23</v>
      </c>
      <c r="AL16" s="44" t="s">
        <v>19</v>
      </c>
      <c r="AM16" s="28" t="s">
        <v>18</v>
      </c>
      <c r="AN16" s="86" t="s">
        <v>84</v>
      </c>
      <c r="AO16" s="126" t="s">
        <v>22</v>
      </c>
      <c r="AP16" s="114"/>
      <c r="AQ16" s="113" t="s">
        <v>21</v>
      </c>
      <c r="AR16" s="114"/>
      <c r="AS16" s="115" t="s">
        <v>20</v>
      </c>
      <c r="AT16" s="115" t="s">
        <v>19</v>
      </c>
      <c r="AU16" s="132" t="s">
        <v>18</v>
      </c>
      <c r="AV16" s="20" t="s">
        <v>86</v>
      </c>
      <c r="AW16" s="139" t="s">
        <v>62</v>
      </c>
    </row>
    <row r="17" spans="2:49" s="49" customFormat="1">
      <c r="B17" s="50" t="s">
        <v>17</v>
      </c>
      <c r="C17" s="47" t="s">
        <v>11</v>
      </c>
      <c r="D17" s="47" t="s">
        <v>10</v>
      </c>
      <c r="E17" s="128"/>
      <c r="F17" s="129"/>
      <c r="G17" s="44" t="s">
        <v>40</v>
      </c>
      <c r="H17" s="58" t="s">
        <v>4</v>
      </c>
      <c r="I17" s="59"/>
      <c r="J17" s="34"/>
      <c r="K17" s="134"/>
      <c r="L17" s="134"/>
      <c r="M17" s="134"/>
      <c r="N17" s="134"/>
      <c r="O17" s="55" t="s">
        <v>47</v>
      </c>
      <c r="P17" s="55" t="s">
        <v>43</v>
      </c>
      <c r="Q17" s="44" t="s">
        <v>16</v>
      </c>
      <c r="R17" s="29" t="s">
        <v>13</v>
      </c>
      <c r="S17" s="44" t="s">
        <v>15</v>
      </c>
      <c r="T17" s="44" t="s">
        <v>14</v>
      </c>
      <c r="U17" s="119"/>
      <c r="V17" s="52" t="s">
        <v>12</v>
      </c>
      <c r="W17" s="52" t="s">
        <v>13</v>
      </c>
      <c r="X17" s="48" t="s">
        <v>12</v>
      </c>
      <c r="Y17" s="130"/>
      <c r="Z17" s="112"/>
      <c r="AA17" s="117"/>
      <c r="AB17" s="113" t="s">
        <v>49</v>
      </c>
      <c r="AC17" s="114"/>
      <c r="AD17" s="44" t="s">
        <v>40</v>
      </c>
      <c r="AE17" s="44" t="s">
        <v>4</v>
      </c>
      <c r="AF17" s="44" t="s">
        <v>52</v>
      </c>
      <c r="AG17" s="44" t="s">
        <v>11</v>
      </c>
      <c r="AH17" s="44" t="s">
        <v>10</v>
      </c>
      <c r="AI17" s="29" t="s">
        <v>13</v>
      </c>
      <c r="AJ17" s="44" t="s">
        <v>12</v>
      </c>
      <c r="AK17" s="44" t="s">
        <v>14</v>
      </c>
      <c r="AL17" s="44" t="s">
        <v>13</v>
      </c>
      <c r="AM17" s="28" t="s">
        <v>12</v>
      </c>
      <c r="AN17" s="86" t="s">
        <v>85</v>
      </c>
      <c r="AO17" s="105" t="s">
        <v>45</v>
      </c>
      <c r="AP17" s="46" t="s">
        <v>44</v>
      </c>
      <c r="AQ17" s="31" t="s">
        <v>11</v>
      </c>
      <c r="AR17" s="31" t="s">
        <v>10</v>
      </c>
      <c r="AS17" s="116"/>
      <c r="AT17" s="116"/>
      <c r="AU17" s="133"/>
      <c r="AV17" s="20" t="s">
        <v>87</v>
      </c>
      <c r="AW17" s="139"/>
    </row>
    <row r="18" spans="2:49" s="49" customFormat="1">
      <c r="B18" s="60"/>
      <c r="C18" s="36" t="e">
        <f>(B18*(10^6)-H18/2)*10^-6</f>
        <v>#N/A</v>
      </c>
      <c r="D18" s="65" t="e">
        <f>(B18*(10^6)+H18/2)*10^-6</f>
        <v>#N/A</v>
      </c>
      <c r="E18" s="66"/>
      <c r="F18" s="37"/>
      <c r="G18" s="56" t="e">
        <f>VLOOKUP(F18,計算用シート!$A$1:$C$4,3,FALSE)</f>
        <v>#N/A</v>
      </c>
      <c r="H18" s="56" t="e">
        <f>E18*G18</f>
        <v>#N/A</v>
      </c>
      <c r="I18" s="31" t="e">
        <f>IF(H18&lt;(10^3),H18,IF(H18&lt;(10^6),H18/(10^3),IF(H18&lt;(10^9),H18/(10^6),IF(H18&gt;=(10^9),H18/(10^9),"エラー"))))</f>
        <v>#N/A</v>
      </c>
      <c r="J18" s="56" t="e">
        <f>IF(H18&lt;(10^3),計算用シート!$A$1,IF(H18&lt;(10^6),計算用シート!$A$2,IF(H18&lt;(10^9),計算用シート!$A$3,IF(H18&gt;=(10^9),計算用シート!$A$4,"エラー"))))</f>
        <v>#N/A</v>
      </c>
      <c r="K18" s="57" t="e">
        <f>IF(100&gt;ROUNDUP(ROUNDDOWN(ROUNDUP((I18-INT(I18))*100,12),11),0),INT(I18),IF(1000&lt;=INT(I18)+1,1,INT(I18)+1))</f>
        <v>#N/A</v>
      </c>
      <c r="L18" s="56" t="e">
        <f>IF(1000&gt;INT(I18)+1,VLOOKUP(J18,計算用シート!$A$1:$B$4,2,FALSE),INDEX(計算用シート!$B$1:$B$4,MATCH(J18,計算用シート!A11:A14,0)+1))</f>
        <v>#N/A</v>
      </c>
      <c r="M18" s="56" t="e">
        <f>IF(ROUNDUP(ROUNDDOWN(ROUNDUP((I18-INT(I18))*100,12),11),0)=0,0,IF(ROUNDUP(ROUNDDOWN(ROUNDUP((I18-INT(I18))*100,12),11),0)&gt;=100,0,IF(ROUNDUP(ROUNDDOWN(ROUNDUP((I18-INT(I18))*100,12),11),0)&lt;10,10,ROUNDUP(ROUNDDOWN(ROUNDUP((I18-INT(I18))*100,12),11),0))))</f>
        <v>#N/A</v>
      </c>
      <c r="N18" s="56" t="e">
        <f>K18&amp;L18&amp;M18&amp;0</f>
        <v>#N/A</v>
      </c>
      <c r="O18" s="22"/>
      <c r="P18" s="22" t="e">
        <f>LEFT(N18,4)&amp;O18</f>
        <v>#N/A</v>
      </c>
      <c r="Q18" s="88"/>
      <c r="R18" s="89" t="e">
        <f>10*LOG(Q18)</f>
        <v>#NUM!</v>
      </c>
      <c r="S18" s="27"/>
      <c r="T18" s="23"/>
      <c r="U18" s="23">
        <f>IF(B18&lt;15000,4000,1000000)</f>
        <v>4000</v>
      </c>
      <c r="V18" s="35" t="e">
        <f>R18-S18-10*LOG(U18)</f>
        <v>#NUM!</v>
      </c>
      <c r="W18" s="26" t="e">
        <f>R18-S18+T18</f>
        <v>#NUM!</v>
      </c>
      <c r="X18" s="25" t="e">
        <f>V18+T18</f>
        <v>#NUM!</v>
      </c>
      <c r="Y18" s="24"/>
      <c r="Z18" s="74"/>
      <c r="AA18" s="22"/>
      <c r="AB18" s="23" t="str">
        <f>SUBSTITUTE(SUBSTITUTE(SUBSTITUTE(SUBSTITUTE(LEFT(AA18,4),"H","."),"K","."),"M","."),"G",".")</f>
        <v/>
      </c>
      <c r="AC18" s="23" t="str">
        <f>SUBSTITUTE(SUBSTITUTE(SUBSTITUTE(SUBSTITUTE(SUBSTITUTE(SUBSTITUTE(SUBSTITUTE(SUBSTITUTE(SUBSTITUTE(SUBSTITUTE(LEFT(AA18,4),"0",""),"1",""),"2",""),"3",""),"4",""),"5",""),"6",""),"7",""),"8",""),"9","")</f>
        <v/>
      </c>
      <c r="AD18" s="23" t="e">
        <f>VLOOKUP(AC18,計算用シート!$B$1:$C$4,2,FALSE)</f>
        <v>#N/A</v>
      </c>
      <c r="AE18" s="23" t="e">
        <f>AB18*AD18</f>
        <v>#VALUE!</v>
      </c>
      <c r="AF18" s="23" t="str">
        <f>RIGHT(AA18,3)</f>
        <v/>
      </c>
      <c r="AG18" s="93"/>
      <c r="AH18" s="93"/>
      <c r="AI18" s="95"/>
      <c r="AJ18" s="95"/>
      <c r="AK18" s="95"/>
      <c r="AL18" s="96">
        <f>AI18+AK18</f>
        <v>0</v>
      </c>
      <c r="AM18" s="97">
        <f>AJ18+AK18</f>
        <v>0</v>
      </c>
      <c r="AN18" s="102"/>
      <c r="AO18" s="105" t="e">
        <f>IF(H18&lt;=AE18,"〇","×")</f>
        <v>#N/A</v>
      </c>
      <c r="AP18" s="71" t="str">
        <f>IF(O18="","#N/A",IF(O18=AF18,"〇","×"))</f>
        <v>#N/A</v>
      </c>
      <c r="AQ18" s="52" t="e">
        <f>IF(C18&gt;=AG18,"〇","×")</f>
        <v>#N/A</v>
      </c>
      <c r="AR18" s="52" t="e">
        <f>IF(D18&lt;=AH18,"〇","×")</f>
        <v>#N/A</v>
      </c>
      <c r="AS18" s="52" t="e">
        <f>IF(V18&lt;=AJ18,"〇","×")</f>
        <v>#NUM!</v>
      </c>
      <c r="AT18" s="52" t="e">
        <f>IF(W18&lt;=AL18,"〇","×")</f>
        <v>#NUM!</v>
      </c>
      <c r="AU18" s="84" t="e">
        <f>IF(W18&lt;=AL18,"〇","×")</f>
        <v>#NUM!</v>
      </c>
      <c r="AV18" s="20" t="str">
        <f t="shared" ref="AV18:AV20" si="23">IF(AL18&lt;=AN18,"〇","×")</f>
        <v>〇</v>
      </c>
      <c r="AW18" s="45" t="e">
        <f>IF((R18-S18)&lt;=AI18,"〇","×")</f>
        <v>#NUM!</v>
      </c>
    </row>
    <row r="19" spans="2:49" s="49" customFormat="1">
      <c r="B19" s="60"/>
      <c r="C19" s="36" t="e">
        <f t="shared" ref="C19:C21" si="24">(B19*(10^6)-H19/2)*10^-6</f>
        <v>#N/A</v>
      </c>
      <c r="D19" s="65" t="e">
        <f t="shared" ref="D19:D21" si="25">(B19*(10^6)+H19/2)*10^-6</f>
        <v>#N/A</v>
      </c>
      <c r="E19" s="66"/>
      <c r="F19" s="37"/>
      <c r="G19" s="56" t="e">
        <f>VLOOKUP(F19,計算用シート!$A$1:$C$4,3,FALSE)</f>
        <v>#N/A</v>
      </c>
      <c r="H19" s="56" t="e">
        <f>E19*G19</f>
        <v>#N/A</v>
      </c>
      <c r="I19" s="31" t="e">
        <f t="shared" ref="I19:I21" si="26">IF(H19&lt;(10^3),H19,IF(H19&lt;(10^6),H19/(10^3),IF(H19&lt;(10^9),H19/(10^6),IF(H19&gt;=(10^9),H19/(10^9),"エラー"))))</f>
        <v>#N/A</v>
      </c>
      <c r="J19" s="56" t="e">
        <f>IF(H19&lt;(10^3),計算用シート!$A$1,IF(H19&lt;(10^6),計算用シート!$A$2,IF(H19&lt;(10^9),計算用シート!$A$3,IF(H19&gt;=(10^9),計算用シート!$A$4,"エラー"))))</f>
        <v>#N/A</v>
      </c>
      <c r="K19" s="57" t="e">
        <f>IF(100&gt;ROUNDUP(ROUNDDOWN(ROUNDUP((I19-INT(I19))*100,12),11),0),INT(I19),IF(1000&lt;=INT(I19)+1,1,INT(I19)+1))</f>
        <v>#N/A</v>
      </c>
      <c r="L19" s="56" t="e">
        <f>IF(1000&gt;INT(I19)+1,VLOOKUP(J19,計算用シート!$A$1:$B$4,2,FALSE),INDEX(計算用シート!$B$1:$B$4,MATCH(J19,計算用シート!J21:J24,0)+1))</f>
        <v>#N/A</v>
      </c>
      <c r="M19" s="56" t="e">
        <f>IF(ROUNDUP(ROUNDDOWN(ROUNDUP((I19-INT(I19))*100,12),11),0)=0,0,IF(ROUNDUP(ROUNDDOWN(ROUNDUP((I19-INT(I19))*100,12),11),0)&gt;=100,0,IF(ROUNDUP(ROUNDDOWN(ROUNDUP((I19-INT(I19))*100,12),11),0)&lt;10,10,ROUNDUP(ROUNDDOWN(ROUNDUP((I19-INT(I19))*100,12),11),0))))</f>
        <v>#N/A</v>
      </c>
      <c r="N19" s="56" t="e">
        <f t="shared" ref="N19:N21" si="27">K19&amp;L19&amp;M19&amp;0</f>
        <v>#N/A</v>
      </c>
      <c r="O19" s="22"/>
      <c r="P19" s="22" t="e">
        <f t="shared" ref="P19:P21" si="28">LEFT(N19,4)&amp;O19</f>
        <v>#N/A</v>
      </c>
      <c r="Q19" s="88"/>
      <c r="R19" s="89" t="e">
        <f>10*LOG(Q19)</f>
        <v>#NUM!</v>
      </c>
      <c r="S19" s="27"/>
      <c r="T19" s="23"/>
      <c r="U19" s="23">
        <f t="shared" ref="U19:U21" si="29">IF(B19&lt;15000,4000,1000000)</f>
        <v>4000</v>
      </c>
      <c r="V19" s="35" t="e">
        <f>R19-S19-10*LOG(U19)</f>
        <v>#NUM!</v>
      </c>
      <c r="W19" s="26" t="e">
        <f>R19-S19+T19</f>
        <v>#NUM!</v>
      </c>
      <c r="X19" s="25" t="e">
        <f t="shared" ref="X19:X21" si="30">V19+T19</f>
        <v>#NUM!</v>
      </c>
      <c r="Y19" s="24"/>
      <c r="Z19" s="74"/>
      <c r="AA19" s="22"/>
      <c r="AB19" s="23" t="str">
        <f t="shared" ref="AB19:AB21" si="31">SUBSTITUTE(SUBSTITUTE(SUBSTITUTE(SUBSTITUTE(LEFT(AA19,4),"H","."),"K","."),"M","."),"G",".")</f>
        <v/>
      </c>
      <c r="AC19" s="23" t="str">
        <f t="shared" ref="AC19:AC21" si="32">SUBSTITUTE(SUBSTITUTE(SUBSTITUTE(SUBSTITUTE(SUBSTITUTE(SUBSTITUTE(SUBSTITUTE(SUBSTITUTE(SUBSTITUTE(SUBSTITUTE(LEFT(AA19,4),"0",""),"1",""),"2",""),"3",""),"4",""),"5",""),"6",""),"7",""),"8",""),"9","")</f>
        <v/>
      </c>
      <c r="AD19" s="23" t="e">
        <f>VLOOKUP(AC19,計算用シート!$B$1:$C$4,2,FALSE)</f>
        <v>#N/A</v>
      </c>
      <c r="AE19" s="23" t="e">
        <f t="shared" ref="AE19:AE21" si="33">AB19*AD19</f>
        <v>#VALUE!</v>
      </c>
      <c r="AF19" s="23" t="str">
        <f t="shared" ref="AF19:AF21" si="34">RIGHT(AA19,3)</f>
        <v/>
      </c>
      <c r="AG19" s="93"/>
      <c r="AH19" s="93"/>
      <c r="AI19" s="95"/>
      <c r="AJ19" s="95"/>
      <c r="AK19" s="95"/>
      <c r="AL19" s="96">
        <f t="shared" ref="AL19:AL21" si="35">AI19+AK19</f>
        <v>0</v>
      </c>
      <c r="AM19" s="97">
        <f t="shared" ref="AM19:AM21" si="36">AJ19+AK19</f>
        <v>0</v>
      </c>
      <c r="AN19" s="102"/>
      <c r="AO19" s="105" t="e">
        <f t="shared" ref="AO19:AO21" si="37">IF(H19&lt;=AE19,"〇","×")</f>
        <v>#N/A</v>
      </c>
      <c r="AP19" s="71" t="str">
        <f>IF(O19="","#N/A",IF(O19=AF19,"〇","×"))</f>
        <v>#N/A</v>
      </c>
      <c r="AQ19" s="52" t="e">
        <f t="shared" ref="AQ19:AQ21" si="38">IF(C19&gt;=AG19,"〇","×")</f>
        <v>#N/A</v>
      </c>
      <c r="AR19" s="52" t="e">
        <f t="shared" ref="AR19:AR21" si="39">IF(D19&lt;=AH19,"〇","×")</f>
        <v>#N/A</v>
      </c>
      <c r="AS19" s="52" t="e">
        <f t="shared" ref="AS19:AS21" si="40">IF(V19&lt;=AJ19,"〇","×")</f>
        <v>#NUM!</v>
      </c>
      <c r="AT19" s="52" t="e">
        <f t="shared" ref="AT19:AT21" si="41">IF(W19&lt;=AL19,"〇","×")</f>
        <v>#NUM!</v>
      </c>
      <c r="AU19" s="84" t="e">
        <f t="shared" ref="AU19:AU21" si="42">IF(W19&lt;=AL19,"〇","×")</f>
        <v>#NUM!</v>
      </c>
      <c r="AV19" s="20" t="str">
        <f t="shared" si="23"/>
        <v>〇</v>
      </c>
      <c r="AW19" s="45" t="e">
        <f t="shared" ref="AW19:AW21" si="43">IF((R19-S19)&lt;=AI19,"〇","×")</f>
        <v>#NUM!</v>
      </c>
    </row>
    <row r="20" spans="2:49" s="49" customFormat="1">
      <c r="B20" s="60"/>
      <c r="C20" s="36" t="e">
        <f t="shared" si="24"/>
        <v>#N/A</v>
      </c>
      <c r="D20" s="65" t="e">
        <f t="shared" si="25"/>
        <v>#N/A</v>
      </c>
      <c r="E20" s="66"/>
      <c r="F20" s="37"/>
      <c r="G20" s="56" t="e">
        <f>VLOOKUP(F20,計算用シート!$A$1:$C$4,3,FALSE)</f>
        <v>#N/A</v>
      </c>
      <c r="H20" s="56" t="e">
        <f t="shared" ref="H20:H21" si="44">E20*G20</f>
        <v>#N/A</v>
      </c>
      <c r="I20" s="31" t="e">
        <f t="shared" si="26"/>
        <v>#N/A</v>
      </c>
      <c r="J20" s="56" t="e">
        <f>IF(H20&lt;(10^3),計算用シート!$A$1,IF(H20&lt;(10^6),計算用シート!$A$2,IF(H20&lt;(10^9),計算用シート!$A$3,IF(H20&gt;=(10^9),計算用シート!$A$4,"エラー"))))</f>
        <v>#N/A</v>
      </c>
      <c r="K20" s="57" t="e">
        <f t="shared" ref="K20:K21" si="45">IF(100&gt;ROUNDUP(ROUNDDOWN(ROUNDUP((I20-INT(I20))*100,12),11),0),INT(I20),IF(1000&lt;=INT(I20)+1,1,INT(I20)+1))</f>
        <v>#N/A</v>
      </c>
      <c r="L20" s="56" t="e">
        <f>IF(1000&gt;INT(I20)+1,VLOOKUP(J20,計算用シート!$A$1:$B$4,2,FALSE),INDEX(計算用シート!$B$1:$B$4,MATCH(J20,計算用シート!J22:J25,0)+1))</f>
        <v>#N/A</v>
      </c>
      <c r="M20" s="56" t="e">
        <f>IF(ROUNDUP(ROUNDDOWN(ROUNDUP((I20-INT(I20))*100,12),11),0)=0,0,IF(ROUNDUP(ROUNDDOWN(ROUNDUP((I20-INT(I20))*100,12),11),0)&gt;=100,0,IF(ROUNDUP(ROUNDDOWN(ROUNDUP((I20-INT(I20))*100,12),11),0)&lt;10,10,ROUNDUP(ROUNDDOWN(ROUNDUP((I20-INT(I20))*100,12),11),0))))</f>
        <v>#N/A</v>
      </c>
      <c r="N20" s="56" t="e">
        <f t="shared" si="27"/>
        <v>#N/A</v>
      </c>
      <c r="O20" s="22"/>
      <c r="P20" s="22" t="e">
        <f t="shared" si="28"/>
        <v>#N/A</v>
      </c>
      <c r="Q20" s="88"/>
      <c r="R20" s="89" t="e">
        <f>10*LOG(Q20)</f>
        <v>#NUM!</v>
      </c>
      <c r="S20" s="27"/>
      <c r="T20" s="23"/>
      <c r="U20" s="23">
        <f t="shared" si="29"/>
        <v>4000</v>
      </c>
      <c r="V20" s="35" t="e">
        <f>R20-S20-10*LOG(U20)</f>
        <v>#NUM!</v>
      </c>
      <c r="W20" s="26" t="e">
        <f>R20-S20+T20</f>
        <v>#NUM!</v>
      </c>
      <c r="X20" s="25" t="e">
        <f t="shared" si="30"/>
        <v>#NUM!</v>
      </c>
      <c r="Y20" s="24"/>
      <c r="Z20" s="74"/>
      <c r="AA20" s="22"/>
      <c r="AB20" s="23" t="str">
        <f t="shared" si="31"/>
        <v/>
      </c>
      <c r="AC20" s="23" t="str">
        <f t="shared" si="32"/>
        <v/>
      </c>
      <c r="AD20" s="23" t="e">
        <f>VLOOKUP(AC20,計算用シート!$B$1:$C$4,2,FALSE)</f>
        <v>#N/A</v>
      </c>
      <c r="AE20" s="23" t="e">
        <f t="shared" si="33"/>
        <v>#VALUE!</v>
      </c>
      <c r="AF20" s="23" t="str">
        <f t="shared" si="34"/>
        <v/>
      </c>
      <c r="AG20" s="93"/>
      <c r="AH20" s="93"/>
      <c r="AI20" s="95"/>
      <c r="AJ20" s="95"/>
      <c r="AK20" s="95"/>
      <c r="AL20" s="96">
        <f t="shared" si="35"/>
        <v>0</v>
      </c>
      <c r="AM20" s="97">
        <f t="shared" si="36"/>
        <v>0</v>
      </c>
      <c r="AN20" s="102"/>
      <c r="AO20" s="105" t="e">
        <f t="shared" si="37"/>
        <v>#N/A</v>
      </c>
      <c r="AP20" s="71" t="str">
        <f>IF(O20="","#N/A",IF(O20=AF20,"〇","×"))</f>
        <v>#N/A</v>
      </c>
      <c r="AQ20" s="52" t="e">
        <f t="shared" si="38"/>
        <v>#N/A</v>
      </c>
      <c r="AR20" s="52" t="e">
        <f t="shared" si="39"/>
        <v>#N/A</v>
      </c>
      <c r="AS20" s="52" t="e">
        <f t="shared" si="40"/>
        <v>#NUM!</v>
      </c>
      <c r="AT20" s="52" t="e">
        <f t="shared" si="41"/>
        <v>#NUM!</v>
      </c>
      <c r="AU20" s="84" t="e">
        <f t="shared" si="42"/>
        <v>#NUM!</v>
      </c>
      <c r="AV20" s="20" t="str">
        <f t="shared" si="23"/>
        <v>〇</v>
      </c>
      <c r="AW20" s="87" t="e">
        <f t="shared" si="43"/>
        <v>#NUM!</v>
      </c>
    </row>
    <row r="21" spans="2:49" s="49" customFormat="1" ht="14.25" thickBot="1">
      <c r="B21" s="72"/>
      <c r="C21" s="69" t="e">
        <f t="shared" si="24"/>
        <v>#N/A</v>
      </c>
      <c r="D21" s="70" t="e">
        <f t="shared" si="25"/>
        <v>#N/A</v>
      </c>
      <c r="E21" s="67"/>
      <c r="F21" s="68"/>
      <c r="G21" s="61" t="e">
        <f>VLOOKUP(F21,計算用シート!$A$1:$C$4,3,FALSE)</f>
        <v>#N/A</v>
      </c>
      <c r="H21" s="61" t="e">
        <f t="shared" si="44"/>
        <v>#N/A</v>
      </c>
      <c r="I21" s="62" t="e">
        <f t="shared" si="26"/>
        <v>#N/A</v>
      </c>
      <c r="J21" s="61" t="e">
        <f>IF(H21&lt;(10^3),計算用シート!$A$1,IF(H21&lt;(10^6),計算用シート!$A$2,IF(H21&lt;(10^9),計算用シート!$A$3,IF(H21&gt;=(10^9),計算用シート!$A$4,"エラー"))))</f>
        <v>#N/A</v>
      </c>
      <c r="K21" s="63" t="e">
        <f t="shared" si="45"/>
        <v>#N/A</v>
      </c>
      <c r="L21" s="61" t="e">
        <f>IF(1000&gt;INT(I21)+1,VLOOKUP(J21,計算用シート!$A$1:$B$4,2,FALSE),INDEX(計算用シート!$B$1:$B$4,MATCH(J21,計算用シート!J23:J26,0)+1))</f>
        <v>#N/A</v>
      </c>
      <c r="M21" s="61" t="e">
        <f>IF(ROUNDUP(ROUNDDOWN(ROUNDUP((I21-INT(I21))*100,12),11),0)=0,0,IF(ROUNDUP(ROUNDDOWN(ROUNDUP((I21-INT(I21))*100,12),11),0)&gt;=100,0,IF(ROUNDUP(ROUNDDOWN(ROUNDUP((I21-INT(I21))*100,12),11),0)&lt;10,10,ROUNDUP(ROUNDDOWN(ROUNDUP((I21-INT(I21))*100,12),11),0))))</f>
        <v>#N/A</v>
      </c>
      <c r="N21" s="61" t="e">
        <f t="shared" si="27"/>
        <v>#N/A</v>
      </c>
      <c r="O21" s="14"/>
      <c r="P21" s="14" t="e">
        <f t="shared" si="28"/>
        <v>#N/A</v>
      </c>
      <c r="Q21" s="91"/>
      <c r="R21" s="92" t="e">
        <f>10*LOG(Q21)</f>
        <v>#NUM!</v>
      </c>
      <c r="S21" s="19"/>
      <c r="T21" s="15"/>
      <c r="U21" s="15">
        <f t="shared" si="29"/>
        <v>4000</v>
      </c>
      <c r="V21" s="64" t="e">
        <f t="shared" ref="V21" si="46">R21-S21-10*LOG(U21)</f>
        <v>#NUM!</v>
      </c>
      <c r="W21" s="18" t="e">
        <f>R21-S21+T21</f>
        <v>#NUM!</v>
      </c>
      <c r="X21" s="17" t="e">
        <f t="shared" si="30"/>
        <v>#NUM!</v>
      </c>
      <c r="Y21" s="16"/>
      <c r="Z21" s="75"/>
      <c r="AA21" s="14"/>
      <c r="AB21" s="15" t="str">
        <f t="shared" si="31"/>
        <v/>
      </c>
      <c r="AC21" s="15" t="str">
        <f t="shared" si="32"/>
        <v/>
      </c>
      <c r="AD21" s="15" t="e">
        <f>VLOOKUP(AC21,計算用シート!$B$1:$C$4,2,FALSE)</f>
        <v>#N/A</v>
      </c>
      <c r="AE21" s="15" t="e">
        <f t="shared" si="33"/>
        <v>#VALUE!</v>
      </c>
      <c r="AF21" s="15" t="str">
        <f t="shared" si="34"/>
        <v/>
      </c>
      <c r="AG21" s="94"/>
      <c r="AH21" s="94"/>
      <c r="AI21" s="98"/>
      <c r="AJ21" s="98"/>
      <c r="AK21" s="98"/>
      <c r="AL21" s="99">
        <f t="shared" si="35"/>
        <v>0</v>
      </c>
      <c r="AM21" s="100">
        <f t="shared" si="36"/>
        <v>0</v>
      </c>
      <c r="AN21" s="103"/>
      <c r="AO21" s="107" t="e">
        <f t="shared" si="37"/>
        <v>#N/A</v>
      </c>
      <c r="AP21" s="13" t="str">
        <f>IF(O21="","#N/A",IF(O21=AF21,"〇","×"))</f>
        <v>#N/A</v>
      </c>
      <c r="AQ21" s="12" t="e">
        <f t="shared" si="38"/>
        <v>#N/A</v>
      </c>
      <c r="AR21" s="12" t="e">
        <f t="shared" si="39"/>
        <v>#N/A</v>
      </c>
      <c r="AS21" s="12" t="e">
        <f t="shared" si="40"/>
        <v>#NUM!</v>
      </c>
      <c r="AT21" s="12" t="e">
        <f t="shared" si="41"/>
        <v>#NUM!</v>
      </c>
      <c r="AU21" s="108" t="e">
        <f t="shared" si="42"/>
        <v>#NUM!</v>
      </c>
      <c r="AV21" s="11" t="str">
        <f>IF(AL21&lt;=AN21,"〇","×")</f>
        <v>〇</v>
      </c>
      <c r="AW21" s="87" t="e">
        <f t="shared" si="43"/>
        <v>#NUM!</v>
      </c>
    </row>
    <row r="25" spans="2:49">
      <c r="B25" s="7" t="s">
        <v>9</v>
      </c>
      <c r="Q25" s="7"/>
      <c r="R25" s="7"/>
    </row>
    <row r="26" spans="2:49" s="76" customFormat="1">
      <c r="B26" s="76" t="s">
        <v>68</v>
      </c>
    </row>
    <row r="27" spans="2:49">
      <c r="B27" s="7" t="s">
        <v>69</v>
      </c>
      <c r="Q27" s="7"/>
      <c r="R27" s="7"/>
    </row>
    <row r="28" spans="2:49">
      <c r="B28" s="7" t="s">
        <v>80</v>
      </c>
      <c r="Q28" s="7"/>
      <c r="R28" s="7"/>
    </row>
    <row r="29" spans="2:49">
      <c r="B29" s="7" t="s">
        <v>78</v>
      </c>
      <c r="Q29" s="7"/>
      <c r="R29" s="7"/>
    </row>
    <row r="30" spans="2:49">
      <c r="B30" s="7" t="s">
        <v>79</v>
      </c>
      <c r="Q30" s="7"/>
      <c r="R30" s="7"/>
    </row>
    <row r="31" spans="2:49">
      <c r="Q31" s="7"/>
      <c r="R31" s="7"/>
    </row>
    <row r="32" spans="2:49">
      <c r="B32" s="7" t="s">
        <v>73</v>
      </c>
      <c r="Q32" s="7"/>
      <c r="R32" s="7"/>
    </row>
    <row r="33" spans="2:48">
      <c r="B33" s="7" t="s">
        <v>74</v>
      </c>
      <c r="Q33" s="7"/>
      <c r="R33" s="7"/>
    </row>
    <row r="34" spans="2:48">
      <c r="B34" s="7" t="s">
        <v>75</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row>
    <row r="35" spans="2:48">
      <c r="B35" s="7" t="s">
        <v>76</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row>
    <row r="36" spans="2:48">
      <c r="B36" s="32" t="s">
        <v>70</v>
      </c>
    </row>
    <row r="37" spans="2:48">
      <c r="B37" s="32" t="s">
        <v>67</v>
      </c>
    </row>
    <row r="38" spans="2:48">
      <c r="B38" s="7" t="s">
        <v>77</v>
      </c>
    </row>
  </sheetData>
  <mergeCells count="46">
    <mergeCell ref="Y5:AM5"/>
    <mergeCell ref="Y6:Y7"/>
    <mergeCell ref="AW6:AW7"/>
    <mergeCell ref="AW16:AW17"/>
    <mergeCell ref="B1:E1"/>
    <mergeCell ref="AG16:AH16"/>
    <mergeCell ref="Q6:R6"/>
    <mergeCell ref="U16:U17"/>
    <mergeCell ref="AB16:AF16"/>
    <mergeCell ref="B5:X5"/>
    <mergeCell ref="C6:D6"/>
    <mergeCell ref="E6:F7"/>
    <mergeCell ref="K6:N7"/>
    <mergeCell ref="O6:P6"/>
    <mergeCell ref="AO5:AV5"/>
    <mergeCell ref="AA16:AA17"/>
    <mergeCell ref="K16:N17"/>
    <mergeCell ref="O16:P16"/>
    <mergeCell ref="AG6:AH6"/>
    <mergeCell ref="AO6:AP6"/>
    <mergeCell ref="AB6:AF6"/>
    <mergeCell ref="AA6:AA7"/>
    <mergeCell ref="AB7:AC7"/>
    <mergeCell ref="AT16:AT17"/>
    <mergeCell ref="AS6:AS7"/>
    <mergeCell ref="AQ16:AR16"/>
    <mergeCell ref="AT6:AT7"/>
    <mergeCell ref="AO15:AV15"/>
    <mergeCell ref="AU6:AU7"/>
    <mergeCell ref="AU16:AU17"/>
    <mergeCell ref="G1:Z1"/>
    <mergeCell ref="Z6:Z7"/>
    <mergeCell ref="Z16:Z17"/>
    <mergeCell ref="AQ6:AR6"/>
    <mergeCell ref="AS16:AS17"/>
    <mergeCell ref="H6:J6"/>
    <mergeCell ref="U6:U7"/>
    <mergeCell ref="B15:X15"/>
    <mergeCell ref="Y15:AM15"/>
    <mergeCell ref="AB17:AC17"/>
    <mergeCell ref="C16:D16"/>
    <mergeCell ref="AO16:AP16"/>
    <mergeCell ref="E16:F17"/>
    <mergeCell ref="H16:J16"/>
    <mergeCell ref="Q16:R16"/>
    <mergeCell ref="Y16:Y17"/>
  </mergeCells>
  <phoneticPr fontId="1"/>
  <conditionalFormatting sqref="E8:E11 G8:H11 J8:P11">
    <cfRule type="cellIs" dxfId="52" priority="23" operator="equal">
      <formula>"Excel"</formula>
    </cfRule>
  </conditionalFormatting>
  <conditionalFormatting sqref="E8:E11 G8:H11 Y8:AA11 AG8:AN11 J8:Q11">
    <cfRule type="cellIs" dxfId="51" priority="22" operator="equal">
      <formula>""</formula>
    </cfRule>
  </conditionalFormatting>
  <conditionalFormatting sqref="S8:U11">
    <cfRule type="cellIs" dxfId="50" priority="21" operator="equal">
      <formula>""</formula>
    </cfRule>
  </conditionalFormatting>
  <conditionalFormatting sqref="AO8:AT11 AV8:AV11">
    <cfRule type="cellIs" dxfId="49" priority="18" operator="equal">
      <formula>"×"</formula>
    </cfRule>
  </conditionalFormatting>
  <conditionalFormatting sqref="B8:B11">
    <cfRule type="cellIs" dxfId="48" priority="16" operator="equal">
      <formula>""</formula>
    </cfRule>
  </conditionalFormatting>
  <conditionalFormatting sqref="F8:F11">
    <cfRule type="containsBlanks" dxfId="47" priority="15">
      <formula>LEN(TRIM(F8))=0</formula>
    </cfRule>
  </conditionalFormatting>
  <conditionalFormatting sqref="E18:E21 G18:H21 J18:P21">
    <cfRule type="cellIs" dxfId="46" priority="13" operator="equal">
      <formula>"Excel"</formula>
    </cfRule>
  </conditionalFormatting>
  <conditionalFormatting sqref="E18:E21 G18:H21 Y18:AA21 AG18:AN21 J18:Q21">
    <cfRule type="cellIs" dxfId="45" priority="12" operator="equal">
      <formula>""</formula>
    </cfRule>
  </conditionalFormatting>
  <conditionalFormatting sqref="S18:U21">
    <cfRule type="cellIs" dxfId="44" priority="11" operator="equal">
      <formula>""</formula>
    </cfRule>
  </conditionalFormatting>
  <conditionalFormatting sqref="AO18:AO21 AQ18:AT21">
    <cfRule type="cellIs" dxfId="43" priority="10" operator="equal">
      <formula>"×"</formula>
    </cfRule>
  </conditionalFormatting>
  <conditionalFormatting sqref="B18:B21">
    <cfRule type="cellIs" dxfId="42" priority="9" operator="equal">
      <formula>""</formula>
    </cfRule>
  </conditionalFormatting>
  <conditionalFormatting sqref="F18:F21">
    <cfRule type="containsBlanks" dxfId="41" priority="8">
      <formula>LEN(TRIM(F18))=0</formula>
    </cfRule>
  </conditionalFormatting>
  <conditionalFormatting sqref="G1">
    <cfRule type="cellIs" dxfId="40" priority="7" operator="equal">
      <formula>"ITUファイリングとの比較（○○○○；API/○/xxxxx ；IFICxxxx；提出日20xx年xx月xx日；公開日20xx年xx月xx日)"</formula>
    </cfRule>
  </conditionalFormatting>
  <conditionalFormatting sqref="AP18:AP21">
    <cfRule type="cellIs" dxfId="39" priority="5" operator="equal">
      <formula>"×"</formula>
    </cfRule>
  </conditionalFormatting>
  <conditionalFormatting sqref="AU8:AU11">
    <cfRule type="cellIs" dxfId="38" priority="3" operator="equal">
      <formula>"×"</formula>
    </cfRule>
  </conditionalFormatting>
  <conditionalFormatting sqref="AU18:AU21">
    <cfRule type="cellIs" dxfId="37" priority="2" operator="equal">
      <formula>"×"</formula>
    </cfRule>
  </conditionalFormatting>
  <conditionalFormatting sqref="AV18:AV21">
    <cfRule type="cellIs" dxfId="36" priority="1" operator="equal">
      <formula>"×"</formula>
    </cfRule>
  </conditionalFormatting>
  <dataValidations count="1">
    <dataValidation allowBlank="1" showDropDown="1" showInputMessage="1" showErrorMessage="1" sqref="Y2:Z6 AL7:AN7 Y8:Z16 Q2:X2 Y18:Z24 Q22:X24 C8:D11 Q42:Z1048576 C6 AI7:AJ7 B16:B21 Q6:T14 V6:X14 U6 U14 B6:B11 AL17:AN17 U8:U11 C16 AI17:AJ17 C18:D21 Q16:T21 V16:X21 U16 U18:U21"/>
  </dataValidations>
  <pageMargins left="0.25" right="0.25" top="0.75" bottom="0.75" header="0.3" footer="0.3"/>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計算用シート!$A$1:$A$4</xm:f>
          </x14:formula1>
          <xm:sqref>F8:F11 F18:F21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9"/>
  <sheetViews>
    <sheetView view="pageBreakPreview" zoomScaleNormal="90" zoomScaleSheetLayoutView="100" workbookViewId="0">
      <selection sqref="A1:B1"/>
    </sheetView>
  </sheetViews>
  <sheetFormatPr defaultRowHeight="13.5" outlineLevelCol="1"/>
  <cols>
    <col min="1" max="1" width="2.625" style="76" customWidth="1"/>
    <col min="2" max="2" width="13.75" style="76" customWidth="1"/>
    <col min="3" max="4" width="11.625" style="76" hidden="1" customWidth="1" outlineLevel="1"/>
    <col min="5" max="5" width="8.125" style="76" customWidth="1" collapsed="1"/>
    <col min="6" max="6" width="7.375" style="76" customWidth="1"/>
    <col min="7" max="7" width="19" style="76" hidden="1" customWidth="1" outlineLevel="1"/>
    <col min="8" max="8" width="11.625" style="76" hidden="1" customWidth="1" outlineLevel="1"/>
    <col min="9" max="9" width="8.5" style="76" hidden="1" customWidth="1" outlineLevel="1"/>
    <col min="10" max="10" width="6.125" style="76" hidden="1" customWidth="1" outlineLevel="1"/>
    <col min="11" max="11" width="3.875" style="76" hidden="1" customWidth="1" outlineLevel="1"/>
    <col min="12" max="12" width="2.25" style="76" hidden="1" customWidth="1" outlineLevel="1"/>
    <col min="13" max="13" width="3" style="76" hidden="1" customWidth="1" outlineLevel="1"/>
    <col min="14" max="14" width="7.625" style="76" hidden="1" customWidth="1" outlineLevel="1"/>
    <col min="15" max="15" width="5.875" style="76" customWidth="1" collapsed="1"/>
    <col min="16" max="16" width="15.5" style="76" customWidth="1"/>
    <col min="17" max="17" width="5.5" style="9" bestFit="1" customWidth="1"/>
    <col min="18" max="18" width="8.75" style="8" bestFit="1" customWidth="1"/>
    <col min="19" max="19" width="11.75" style="76" bestFit="1" customWidth="1"/>
    <col min="20" max="20" width="6.125" style="76" bestFit="1" customWidth="1"/>
    <col min="21" max="21" width="10" style="76" hidden="1" customWidth="1" outlineLevel="1"/>
    <col min="22" max="22" width="13.875" style="76" bestFit="1" customWidth="1" collapsed="1"/>
    <col min="23" max="23" width="6.75" style="76" bestFit="1" customWidth="1"/>
    <col min="24" max="24" width="13.875" style="76" bestFit="1" customWidth="1"/>
    <col min="25" max="25" width="8.625" style="76" bestFit="1" customWidth="1"/>
    <col min="26" max="26" width="8" style="76" bestFit="1" customWidth="1"/>
    <col min="27" max="27" width="11" style="76" bestFit="1" customWidth="1"/>
    <col min="28" max="28" width="8.5" style="76" hidden="1" customWidth="1" outlineLevel="1"/>
    <col min="29" max="29" width="7.25" style="76" hidden="1" customWidth="1" outlineLevel="1"/>
    <col min="30" max="30" width="17.375" style="76" hidden="1" customWidth="1" outlineLevel="1"/>
    <col min="31" max="31" width="8.375" style="76" hidden="1" customWidth="1" outlineLevel="1"/>
    <col min="32" max="32" width="13.125" style="76" hidden="1" customWidth="1" outlineLevel="1"/>
    <col min="33" max="33" width="11.125" style="76" bestFit="1" customWidth="1" collapsed="1"/>
    <col min="34" max="34" width="10.75" style="76" customWidth="1"/>
    <col min="35" max="35" width="7.25" style="76" bestFit="1" customWidth="1"/>
    <col min="36" max="36" width="10.375" style="76" bestFit="1" customWidth="1"/>
    <col min="37" max="37" width="6.125" style="76" bestFit="1" customWidth="1"/>
    <col min="38" max="38" width="7.25" style="76" bestFit="1" customWidth="1"/>
    <col min="39" max="39" width="10.375" style="76" bestFit="1" customWidth="1"/>
    <col min="40" max="41" width="6.75" style="76" customWidth="1"/>
    <col min="42" max="43" width="8" style="76" customWidth="1"/>
    <col min="44" max="44" width="10" style="76" bestFit="1" customWidth="1"/>
    <col min="45" max="45" width="7.125" style="76" bestFit="1" customWidth="1"/>
    <col min="46" max="46" width="9.125" style="76" bestFit="1" customWidth="1"/>
    <col min="47" max="16384" width="9" style="76"/>
  </cols>
  <sheetData>
    <row r="1" spans="1:47" ht="25.5">
      <c r="A1" s="141" t="s">
        <v>53</v>
      </c>
      <c r="B1" s="141"/>
    </row>
    <row r="2" spans="1:47" ht="14.25">
      <c r="B2" s="140" t="s">
        <v>36</v>
      </c>
      <c r="C2" s="140"/>
      <c r="D2" s="140"/>
      <c r="E2" s="140"/>
      <c r="F2" s="33"/>
      <c r="G2" s="110" t="s">
        <v>81</v>
      </c>
      <c r="H2" s="110"/>
      <c r="I2" s="110"/>
      <c r="J2" s="110"/>
      <c r="K2" s="110"/>
      <c r="L2" s="110"/>
      <c r="M2" s="110"/>
      <c r="N2" s="110"/>
      <c r="O2" s="110"/>
      <c r="P2" s="110"/>
      <c r="Q2" s="110"/>
      <c r="R2" s="110"/>
      <c r="S2" s="110"/>
      <c r="T2" s="110"/>
      <c r="U2" s="110"/>
      <c r="V2" s="110"/>
      <c r="W2" s="110"/>
      <c r="X2" s="110"/>
      <c r="Y2" s="110"/>
      <c r="Z2" s="110"/>
      <c r="AA2" s="32"/>
      <c r="AB2" s="32"/>
      <c r="AC2" s="32"/>
      <c r="AD2" s="32"/>
      <c r="AE2" s="32"/>
      <c r="AF2" s="32"/>
      <c r="AG2" s="32"/>
      <c r="AH2" s="32"/>
      <c r="AI2" s="32"/>
      <c r="AJ2" s="32"/>
      <c r="AK2" s="32"/>
      <c r="AL2" s="32"/>
      <c r="AM2" s="32"/>
      <c r="AN2" s="32"/>
      <c r="AO2" s="32"/>
      <c r="AP2" s="32"/>
      <c r="AQ2" s="32"/>
      <c r="AR2" s="32"/>
      <c r="AS2" s="32"/>
      <c r="AT2" s="32"/>
    </row>
    <row r="5" spans="1:47" ht="15" thickBot="1">
      <c r="B5" s="51" t="s">
        <v>35</v>
      </c>
      <c r="C5" s="51"/>
      <c r="D5" s="51"/>
      <c r="E5" s="51"/>
      <c r="F5" s="51"/>
      <c r="G5" s="51"/>
      <c r="H5" s="51"/>
      <c r="I5" s="51"/>
      <c r="J5" s="51"/>
      <c r="K5" s="51"/>
      <c r="L5" s="51"/>
      <c r="M5" s="51"/>
      <c r="N5" s="51"/>
      <c r="O5" s="51"/>
      <c r="P5" s="51"/>
      <c r="AU5" s="76" t="s">
        <v>64</v>
      </c>
    </row>
    <row r="6" spans="1:47">
      <c r="B6" s="120" t="s">
        <v>33</v>
      </c>
      <c r="C6" s="121"/>
      <c r="D6" s="121"/>
      <c r="E6" s="121"/>
      <c r="F6" s="121"/>
      <c r="G6" s="121"/>
      <c r="H6" s="121"/>
      <c r="I6" s="121"/>
      <c r="J6" s="121"/>
      <c r="K6" s="121"/>
      <c r="L6" s="121"/>
      <c r="M6" s="121"/>
      <c r="N6" s="121"/>
      <c r="O6" s="121"/>
      <c r="P6" s="121"/>
      <c r="Q6" s="121"/>
      <c r="R6" s="121"/>
      <c r="S6" s="121"/>
      <c r="T6" s="121"/>
      <c r="U6" s="121"/>
      <c r="V6" s="121"/>
      <c r="W6" s="121"/>
      <c r="X6" s="121"/>
      <c r="Y6" s="122" t="s">
        <v>72</v>
      </c>
      <c r="Z6" s="121"/>
      <c r="AA6" s="121"/>
      <c r="AB6" s="121"/>
      <c r="AC6" s="121"/>
      <c r="AD6" s="121"/>
      <c r="AE6" s="121"/>
      <c r="AF6" s="121"/>
      <c r="AG6" s="121"/>
      <c r="AH6" s="121"/>
      <c r="AI6" s="121"/>
      <c r="AJ6" s="121"/>
      <c r="AK6" s="121"/>
      <c r="AL6" s="121"/>
      <c r="AM6" s="123"/>
      <c r="AN6" s="121" t="s">
        <v>32</v>
      </c>
      <c r="AO6" s="121"/>
      <c r="AP6" s="121"/>
      <c r="AQ6" s="121"/>
      <c r="AR6" s="121"/>
      <c r="AS6" s="121"/>
      <c r="AT6" s="131"/>
      <c r="AU6" s="45" t="s">
        <v>63</v>
      </c>
    </row>
    <row r="7" spans="1:47">
      <c r="B7" s="50" t="s">
        <v>31</v>
      </c>
      <c r="C7" s="124" t="s">
        <v>51</v>
      </c>
      <c r="D7" s="125"/>
      <c r="E7" s="124" t="s">
        <v>38</v>
      </c>
      <c r="F7" s="127"/>
      <c r="G7" s="54"/>
      <c r="H7" s="117" t="s">
        <v>38</v>
      </c>
      <c r="I7" s="117"/>
      <c r="J7" s="117"/>
      <c r="K7" s="134" t="s">
        <v>41</v>
      </c>
      <c r="L7" s="134"/>
      <c r="M7" s="134"/>
      <c r="N7" s="134"/>
      <c r="O7" s="135" t="s">
        <v>37</v>
      </c>
      <c r="P7" s="135"/>
      <c r="Q7" s="117" t="s">
        <v>30</v>
      </c>
      <c r="R7" s="117"/>
      <c r="S7" s="77" t="s">
        <v>29</v>
      </c>
      <c r="T7" s="77" t="s">
        <v>23</v>
      </c>
      <c r="U7" s="118" t="s">
        <v>66</v>
      </c>
      <c r="V7" s="80" t="s">
        <v>28</v>
      </c>
      <c r="W7" s="80" t="s">
        <v>19</v>
      </c>
      <c r="X7" s="82" t="s">
        <v>27</v>
      </c>
      <c r="Y7" s="130" t="s">
        <v>26</v>
      </c>
      <c r="Z7" s="111" t="s">
        <v>65</v>
      </c>
      <c r="AA7" s="117" t="s">
        <v>22</v>
      </c>
      <c r="AB7" s="136" t="s">
        <v>48</v>
      </c>
      <c r="AC7" s="137"/>
      <c r="AD7" s="137"/>
      <c r="AE7" s="137"/>
      <c r="AF7" s="138"/>
      <c r="AG7" s="117" t="s">
        <v>25</v>
      </c>
      <c r="AH7" s="117"/>
      <c r="AI7" s="77" t="s">
        <v>24</v>
      </c>
      <c r="AJ7" s="77" t="s">
        <v>20</v>
      </c>
      <c r="AK7" s="77" t="s">
        <v>23</v>
      </c>
      <c r="AL7" s="77" t="s">
        <v>19</v>
      </c>
      <c r="AM7" s="28" t="s">
        <v>18</v>
      </c>
      <c r="AN7" s="126" t="s">
        <v>22</v>
      </c>
      <c r="AO7" s="114"/>
      <c r="AP7" s="113" t="s">
        <v>21</v>
      </c>
      <c r="AQ7" s="114"/>
      <c r="AR7" s="115" t="s">
        <v>20</v>
      </c>
      <c r="AS7" s="115" t="s">
        <v>19</v>
      </c>
      <c r="AT7" s="142" t="s">
        <v>18</v>
      </c>
      <c r="AU7" s="139" t="s">
        <v>62</v>
      </c>
    </row>
    <row r="8" spans="1:47">
      <c r="B8" s="50" t="s">
        <v>17</v>
      </c>
      <c r="C8" s="78" t="s">
        <v>11</v>
      </c>
      <c r="D8" s="78" t="s">
        <v>10</v>
      </c>
      <c r="E8" s="128"/>
      <c r="F8" s="129"/>
      <c r="G8" s="77" t="s">
        <v>40</v>
      </c>
      <c r="H8" s="83" t="s">
        <v>4</v>
      </c>
      <c r="I8" s="59"/>
      <c r="J8" s="34"/>
      <c r="K8" s="134"/>
      <c r="L8" s="134"/>
      <c r="M8" s="134"/>
      <c r="N8" s="134"/>
      <c r="O8" s="79" t="s">
        <v>47</v>
      </c>
      <c r="P8" s="79" t="s">
        <v>43</v>
      </c>
      <c r="Q8" s="77" t="s">
        <v>16</v>
      </c>
      <c r="R8" s="29" t="s">
        <v>13</v>
      </c>
      <c r="S8" s="77" t="s">
        <v>15</v>
      </c>
      <c r="T8" s="77" t="s">
        <v>14</v>
      </c>
      <c r="U8" s="119"/>
      <c r="V8" s="80" t="s">
        <v>12</v>
      </c>
      <c r="W8" s="80" t="s">
        <v>13</v>
      </c>
      <c r="X8" s="82" t="s">
        <v>12</v>
      </c>
      <c r="Y8" s="130"/>
      <c r="Z8" s="112"/>
      <c r="AA8" s="117"/>
      <c r="AB8" s="113" t="s">
        <v>49</v>
      </c>
      <c r="AC8" s="114"/>
      <c r="AD8" s="77" t="s">
        <v>40</v>
      </c>
      <c r="AE8" s="77" t="s">
        <v>4</v>
      </c>
      <c r="AF8" s="77" t="s">
        <v>52</v>
      </c>
      <c r="AG8" s="77" t="s">
        <v>11</v>
      </c>
      <c r="AH8" s="77" t="s">
        <v>10</v>
      </c>
      <c r="AI8" s="29" t="s">
        <v>13</v>
      </c>
      <c r="AJ8" s="77" t="s">
        <v>12</v>
      </c>
      <c r="AK8" s="77" t="s">
        <v>14</v>
      </c>
      <c r="AL8" s="77" t="s">
        <v>13</v>
      </c>
      <c r="AM8" s="28" t="s">
        <v>12</v>
      </c>
      <c r="AN8" s="81" t="s">
        <v>45</v>
      </c>
      <c r="AO8" s="81" t="s">
        <v>44</v>
      </c>
      <c r="AP8" s="31" t="s">
        <v>11</v>
      </c>
      <c r="AQ8" s="31" t="s">
        <v>10</v>
      </c>
      <c r="AR8" s="116"/>
      <c r="AS8" s="116"/>
      <c r="AT8" s="143"/>
      <c r="AU8" s="139"/>
    </row>
    <row r="9" spans="1:47">
      <c r="B9" s="60">
        <v>437.125</v>
      </c>
      <c r="C9" s="36">
        <f t="shared" ref="C9:C12" si="0">(B9*(10^6)-H9/2)*10^-6</f>
        <v>437.12475000000001</v>
      </c>
      <c r="D9" s="65">
        <f t="shared" ref="D9:D12" si="1">(B9*(10^6)+H9/2)*10^-6</f>
        <v>437.12524999999999</v>
      </c>
      <c r="E9" s="66">
        <v>500</v>
      </c>
      <c r="F9" s="37" t="s">
        <v>55</v>
      </c>
      <c r="G9" s="56">
        <f>VLOOKUP(F9,計算用シート!$A$1:$C$4,3,FALSE)</f>
        <v>1</v>
      </c>
      <c r="H9" s="56">
        <f>E9*G9</f>
        <v>500</v>
      </c>
      <c r="I9" s="31">
        <f>IF(H9&lt;(10^3),H9,IF(H9&lt;(10^6),H9/(10^3),IF(H9&lt;(10^9),H9/(10^6),IF(H9&gt;=(10^9),H9/(10^9),"エラー"))))</f>
        <v>500</v>
      </c>
      <c r="J9" s="56" t="str">
        <f>IF(H9&lt;(10^3),計算用シート!$A$1,IF(H9&lt;(10^6),計算用シート!$A$2,IF(H9&lt;(10^9),計算用シート!$A$3,IF(H9&gt;=(10^9),計算用シート!$A$4,"エラー"))))</f>
        <v>[Hz]</v>
      </c>
      <c r="K9" s="57">
        <f>IF(100&gt;ROUNDUP(ROUNDDOWN(ROUNDUP((I9-INT(I9))*100,12),11),0),INT(I9),IF(1000&lt;=INT(I9)+1,1,INT(I9)+1))</f>
        <v>500</v>
      </c>
      <c r="L9" s="56" t="str">
        <f>IF(1000&gt;INT(I9)+1,VLOOKUP(J9,計算用シート!$A$1:$B$4,2,FALSE),INDEX(計算用シート!$B$1:$B$4,MATCH(J9,計算用シート!A1:A4,0)+1))</f>
        <v>H</v>
      </c>
      <c r="M9" s="56">
        <f>IF(ROUNDUP(ROUNDDOWN(ROUNDUP((I9-INT(I9))*100,12),11),0)=0,0,IF(ROUNDUP(ROUNDDOWN(ROUNDUP((I9-INT(I9))*100,12),11),0)&gt;=100,0,IF(ROUNDUP(ROUNDDOWN(ROUNDUP((I9-INT(I9))*100,12),11),0)&lt;10,10,ROUNDUP(ROUNDDOWN(ROUNDUP((I9-INT(I9))*100,12),11),0))))</f>
        <v>0</v>
      </c>
      <c r="N9" s="56" t="str">
        <f>K9&amp;L9&amp;M9&amp;0</f>
        <v>500H00</v>
      </c>
      <c r="O9" s="22" t="s">
        <v>54</v>
      </c>
      <c r="P9" s="22" t="str">
        <f>LEFT(N9,4)&amp;O9</f>
        <v>500HA1A</v>
      </c>
      <c r="Q9" s="88">
        <v>0.1</v>
      </c>
      <c r="R9" s="89">
        <f>10*LOG(Q9)</f>
        <v>-10</v>
      </c>
      <c r="S9" s="27">
        <v>1</v>
      </c>
      <c r="T9" s="23">
        <v>0</v>
      </c>
      <c r="U9" s="23">
        <f>IF(B9&lt;15000,4000,1000000)</f>
        <v>4000</v>
      </c>
      <c r="V9" s="35">
        <f>R9-S9-10*LOG(U9)</f>
        <v>-47.020599913279625</v>
      </c>
      <c r="W9" s="26">
        <f>R9-S9+T9</f>
        <v>-11</v>
      </c>
      <c r="X9" s="25">
        <f>V9+T9</f>
        <v>-47.020599913279625</v>
      </c>
      <c r="Y9" s="24" t="s">
        <v>57</v>
      </c>
      <c r="Z9" s="74">
        <v>2</v>
      </c>
      <c r="AA9" s="22" t="s">
        <v>56</v>
      </c>
      <c r="AB9" s="23" t="str">
        <f>SUBSTITUTE(SUBSTITUTE(SUBSTITUTE(SUBSTITUTE(LEFT(AA9,4),"H","."),"K","."),"M","."),"G",".")</f>
        <v>500.</v>
      </c>
      <c r="AC9" s="23" t="str">
        <f>SUBSTITUTE(SUBSTITUTE(SUBSTITUTE(SUBSTITUTE(SUBSTITUTE(SUBSTITUTE(SUBSTITUTE(SUBSTITUTE(SUBSTITUTE(SUBSTITUTE(LEFT(AA9,4),"0",""),"1",""),"2",""),"3",""),"4",""),"5",""),"6",""),"7",""),"8",""),"9","")</f>
        <v>H</v>
      </c>
      <c r="AD9" s="23">
        <f>VLOOKUP(AC9,計算用シート!$B$1:$C$4,2,FALSE)</f>
        <v>1</v>
      </c>
      <c r="AE9" s="23">
        <f t="shared" ref="AE9:AE12" si="2">AB9*AD9</f>
        <v>500</v>
      </c>
      <c r="AF9" s="23" t="str">
        <f>RIGHT(AA9,3)</f>
        <v>A1A</v>
      </c>
      <c r="AG9" s="101">
        <v>437.07470000000001</v>
      </c>
      <c r="AH9" s="22">
        <v>437.17525000000001</v>
      </c>
      <c r="AI9" s="95">
        <v>-10</v>
      </c>
      <c r="AJ9" s="95">
        <v>-47</v>
      </c>
      <c r="AK9" s="95">
        <v>0</v>
      </c>
      <c r="AL9" s="96">
        <f>AI9+AK9</f>
        <v>-10</v>
      </c>
      <c r="AM9" s="97">
        <f>AJ9+AK9</f>
        <v>-47</v>
      </c>
      <c r="AN9" s="81" t="str">
        <f>IF(H9&lt;=AE9,"〇","×")</f>
        <v>〇</v>
      </c>
      <c r="AO9" s="81" t="str">
        <f>IF(O9="","#N/A",IF(O9=AF9,"〇","×"))</f>
        <v>〇</v>
      </c>
      <c r="AP9" s="80" t="str">
        <f>IF(C9&gt;=AG9,"〇","×")</f>
        <v>〇</v>
      </c>
      <c r="AQ9" s="80" t="str">
        <f>IF(D9&lt;=AH9,"〇","×")</f>
        <v>〇</v>
      </c>
      <c r="AR9" s="80" t="str">
        <f>IF(V9&lt;=AJ9,"〇","×")</f>
        <v>〇</v>
      </c>
      <c r="AS9" s="80" t="str">
        <f>IF(W9&lt;=AL9,"〇","×")</f>
        <v>〇</v>
      </c>
      <c r="AT9" s="20" t="str">
        <f>IF(X9&lt;=AM9,"〇","×")</f>
        <v>〇</v>
      </c>
      <c r="AU9" s="45" t="str">
        <f>IF((R9-S9)&lt;=AI9,"〇","×")</f>
        <v>〇</v>
      </c>
    </row>
    <row r="10" spans="1:47">
      <c r="B10" s="60">
        <v>437.125</v>
      </c>
      <c r="C10" s="36">
        <f t="shared" si="0"/>
        <v>437.11699999999996</v>
      </c>
      <c r="D10" s="65">
        <f t="shared" si="1"/>
        <v>437.13299999999998</v>
      </c>
      <c r="E10" s="66">
        <v>16</v>
      </c>
      <c r="F10" s="37" t="s">
        <v>5</v>
      </c>
      <c r="G10" s="56">
        <f>VLOOKUP(F10,計算用シート!$A$1:$C$4,3,FALSE)</f>
        <v>1000</v>
      </c>
      <c r="H10" s="56">
        <f>E10*G10</f>
        <v>16000</v>
      </c>
      <c r="I10" s="31">
        <f t="shared" ref="I10:I12" si="3">IF(H10&lt;(10^3),H10,IF(H10&lt;(10^6),H10/(10^3),IF(H10&lt;(10^9),H10/(10^6),IF(H10&gt;=(10^9),H10/(10^9),"エラー"))))</f>
        <v>16</v>
      </c>
      <c r="J10" s="56" t="str">
        <f>IF(H10&lt;(10^3),計算用シート!$A$1,IF(H10&lt;(10^6),計算用シート!$A$2,IF(H10&lt;(10^9),計算用シート!$A$3,IF(H10&gt;=(10^9),計算用シート!$A$4,"エラー"))))</f>
        <v>[kHz]</v>
      </c>
      <c r="K10" s="57">
        <f>IF(100&gt;ROUNDUP(ROUNDDOWN(ROUNDUP((I10-INT(I10))*100,12),11),0),INT(I10),IF(1000&lt;=INT(I10)+1,1,INT(I10)+1))</f>
        <v>16</v>
      </c>
      <c r="L10" s="56" t="str">
        <f>IF(1000&gt;INT(I10)+1,VLOOKUP(J10,計算用シート!$A$1:$B$4,2,FALSE),INDEX(計算用シート!$B$1:$B$4,MATCH(J10,計算用シート!J11:J14,0)+1))</f>
        <v>K</v>
      </c>
      <c r="M10" s="56">
        <f>IF(ROUNDUP(ROUNDDOWN(ROUNDUP((I10-INT(I10))*100,12),11),0)=0,0,IF(ROUNDUP(ROUNDDOWN(ROUNDUP((I10-INT(I10))*100,12),11),0)&gt;=100,0,IF(ROUNDUP(ROUNDDOWN(ROUNDUP((I10-INT(I10))*100,12),11),0)&lt;10,10,ROUNDUP(ROUNDDOWN(ROUNDUP((I10-INT(I10))*100,12),11),0))))</f>
        <v>0</v>
      </c>
      <c r="N10" s="56" t="str">
        <f t="shared" ref="N10:N12" si="4">K10&amp;L10&amp;M10&amp;0</f>
        <v>16K00</v>
      </c>
      <c r="O10" s="22" t="s">
        <v>60</v>
      </c>
      <c r="P10" s="22" t="str">
        <f t="shared" ref="P10:P12" si="5">LEFT(N10,4)&amp;O10</f>
        <v>16K0F2D</v>
      </c>
      <c r="Q10" s="88">
        <v>0.8</v>
      </c>
      <c r="R10" s="89">
        <f>10*LOG(Q10)</f>
        <v>-0.96910013008056395</v>
      </c>
      <c r="S10" s="27">
        <v>1</v>
      </c>
      <c r="T10" s="23">
        <v>2.15</v>
      </c>
      <c r="U10" s="23">
        <f>IF(B10&lt;15000,4000,1000000)</f>
        <v>4000</v>
      </c>
      <c r="V10" s="35">
        <f>R10-S10-10*LOG(U10)</f>
        <v>-37.989700043360187</v>
      </c>
      <c r="W10" s="26">
        <f>R10-S10+T10</f>
        <v>0.18089986991943596</v>
      </c>
      <c r="X10" s="25">
        <f t="shared" ref="X10:X12" si="6">V10+T10</f>
        <v>-35.839700043360189</v>
      </c>
      <c r="Y10" s="24" t="s">
        <v>58</v>
      </c>
      <c r="Z10" s="74">
        <v>3</v>
      </c>
      <c r="AA10" s="22" t="s">
        <v>61</v>
      </c>
      <c r="AB10" s="23" t="str">
        <f t="shared" ref="AB10:AB12" si="7">SUBSTITUTE(SUBSTITUTE(SUBSTITUTE(SUBSTITUTE(LEFT(AA10,4),"H","."),"K","."),"M","."),"G",".")</f>
        <v>20.0</v>
      </c>
      <c r="AC10" s="23" t="str">
        <f t="shared" ref="AC10:AC12" si="8">SUBSTITUTE(SUBSTITUTE(SUBSTITUTE(SUBSTITUTE(SUBSTITUTE(SUBSTITUTE(SUBSTITUTE(SUBSTITUTE(SUBSTITUTE(SUBSTITUTE(LEFT(AA10,4),"0",""),"1",""),"2",""),"3",""),"4",""),"5",""),"6",""),"7",""),"8",""),"9","")</f>
        <v>K</v>
      </c>
      <c r="AD10" s="23">
        <f>VLOOKUP(AC10,計算用シート!$B$1:$C$4,2,FALSE)</f>
        <v>1000</v>
      </c>
      <c r="AE10" s="23">
        <f>AB10*AD10</f>
        <v>20000</v>
      </c>
      <c r="AF10" s="23" t="str">
        <f t="shared" ref="AF10:AF12" si="9">RIGHT(AA10,3)</f>
        <v>F2D</v>
      </c>
      <c r="AG10" s="101">
        <v>437.07470000000001</v>
      </c>
      <c r="AH10" s="22">
        <v>437.17525000000001</v>
      </c>
      <c r="AI10" s="95">
        <v>-1</v>
      </c>
      <c r="AJ10" s="95">
        <v>-37</v>
      </c>
      <c r="AK10" s="95">
        <v>2</v>
      </c>
      <c r="AL10" s="96">
        <f t="shared" ref="AL10:AL11" si="10">AI10+AK10</f>
        <v>1</v>
      </c>
      <c r="AM10" s="97">
        <f t="shared" ref="AM10:AM12" si="11">AJ10+AK10</f>
        <v>-35</v>
      </c>
      <c r="AN10" s="81" t="str">
        <f t="shared" ref="AN10:AN12" si="12">IF(H10&lt;=AE10,"〇","×")</f>
        <v>〇</v>
      </c>
      <c r="AO10" s="81" t="str">
        <f t="shared" ref="AO10" si="13">IF(O10="","#N/A",IF(O10=AF10,"〇","×"))</f>
        <v>〇</v>
      </c>
      <c r="AP10" s="80" t="str">
        <f t="shared" ref="AP10:AP12" si="14">IF(C10&gt;=AG10,"〇","×")</f>
        <v>〇</v>
      </c>
      <c r="AQ10" s="80" t="str">
        <f t="shared" ref="AQ10:AQ12" si="15">IF(D10&lt;=AH10,"〇","×")</f>
        <v>〇</v>
      </c>
      <c r="AR10" s="80" t="str">
        <f>IF(V10&lt;=AJ10,"〇","×")</f>
        <v>〇</v>
      </c>
      <c r="AS10" s="80" t="str">
        <f t="shared" ref="AS10:AT12" si="16">IF(W10&lt;=AL10,"〇","×")</f>
        <v>〇</v>
      </c>
      <c r="AT10" s="20" t="str">
        <f t="shared" si="16"/>
        <v>〇</v>
      </c>
      <c r="AU10" s="45" t="str">
        <f t="shared" ref="AU10:AU12" si="17">IF((R10-S10)&lt;=AI10,"〇","×")</f>
        <v>〇</v>
      </c>
    </row>
    <row r="11" spans="1:47">
      <c r="B11" s="60"/>
      <c r="C11" s="36" t="e">
        <f t="shared" si="0"/>
        <v>#N/A</v>
      </c>
      <c r="D11" s="65" t="e">
        <f t="shared" si="1"/>
        <v>#N/A</v>
      </c>
      <c r="E11" s="66"/>
      <c r="F11" s="37"/>
      <c r="G11" s="56" t="e">
        <f>VLOOKUP(F11,計算用シート!$A$1:$C$4,3,FALSE)</f>
        <v>#N/A</v>
      </c>
      <c r="H11" s="56" t="e">
        <f t="shared" ref="H11:H12" si="18">E11*G11</f>
        <v>#N/A</v>
      </c>
      <c r="I11" s="31" t="e">
        <f t="shared" si="3"/>
        <v>#N/A</v>
      </c>
      <c r="J11" s="56" t="e">
        <f>IF(H11&lt;(10^3),計算用シート!$A$1,IF(H11&lt;(10^6),計算用シート!$A$2,IF(H11&lt;(10^9),計算用シート!$A$3,IF(H11&gt;=(10^9),計算用シート!$A$4,"エラー"))))</f>
        <v>#N/A</v>
      </c>
      <c r="K11" s="57" t="e">
        <f t="shared" ref="K11:K12" si="19">IF(100&gt;ROUNDUP(ROUNDDOWN(ROUNDUP((I11-INT(I11))*100,12),11),0),INT(I11),IF(1000&lt;=INT(I11)+1,1,INT(I11)+1))</f>
        <v>#N/A</v>
      </c>
      <c r="L11" s="56" t="e">
        <f>IF(1000&gt;INT(I11)+1,VLOOKUP(J11,計算用シート!$A$1:$B$4,2,FALSE),INDEX(計算用シート!$B$1:$B$4,MATCH(J11,計算用シート!J12:J15,0)+1))</f>
        <v>#N/A</v>
      </c>
      <c r="M11" s="56" t="e">
        <f>IF(ROUNDUP(ROUNDDOWN(ROUNDUP((I11-INT(I11))*100,12),11),0)=0,0,IF(ROUNDUP(ROUNDDOWN(ROUNDUP((I11-INT(I11))*100,12),11),0)&gt;=100,0,IF(ROUNDUP(ROUNDDOWN(ROUNDUP((I11-INT(I11))*100,12),11),0)&lt;10,10,ROUNDUP(ROUNDDOWN(ROUNDUP((I11-INT(I11))*100,12),11),0))))</f>
        <v>#N/A</v>
      </c>
      <c r="N11" s="56" t="e">
        <f t="shared" si="4"/>
        <v>#N/A</v>
      </c>
      <c r="O11" s="22"/>
      <c r="P11" s="22" t="e">
        <f t="shared" si="5"/>
        <v>#N/A</v>
      </c>
      <c r="Q11" s="88"/>
      <c r="R11" s="89" t="e">
        <f>10*LOG(Q11)</f>
        <v>#NUM!</v>
      </c>
      <c r="S11" s="27"/>
      <c r="T11" s="23"/>
      <c r="U11" s="23">
        <f>IF(B11&lt;15000,4000,1000000)</f>
        <v>4000</v>
      </c>
      <c r="V11" s="35" t="e">
        <f>R11-S11-10*LOG(U11)</f>
        <v>#NUM!</v>
      </c>
      <c r="W11" s="26" t="e">
        <f>R11-S11+T11</f>
        <v>#NUM!</v>
      </c>
      <c r="X11" s="25" t="e">
        <f t="shared" si="6"/>
        <v>#NUM!</v>
      </c>
      <c r="Y11" s="24"/>
      <c r="Z11" s="74"/>
      <c r="AA11" s="22"/>
      <c r="AB11" s="23" t="str">
        <f t="shared" si="7"/>
        <v/>
      </c>
      <c r="AC11" s="23" t="str">
        <f t="shared" si="8"/>
        <v/>
      </c>
      <c r="AD11" s="23" t="e">
        <f>VLOOKUP(AC11,計算用シート!$B$1:$C$4,2,FALSE)</f>
        <v>#N/A</v>
      </c>
      <c r="AE11" s="23" t="e">
        <f t="shared" si="2"/>
        <v>#VALUE!</v>
      </c>
      <c r="AF11" s="23" t="str">
        <f t="shared" si="9"/>
        <v/>
      </c>
      <c r="AG11" s="93"/>
      <c r="AH11" s="93"/>
      <c r="AI11" s="95"/>
      <c r="AJ11" s="95"/>
      <c r="AK11" s="95"/>
      <c r="AL11" s="96">
        <f t="shared" si="10"/>
        <v>0</v>
      </c>
      <c r="AM11" s="97">
        <f t="shared" si="11"/>
        <v>0</v>
      </c>
      <c r="AN11" s="81" t="e">
        <f t="shared" si="12"/>
        <v>#N/A</v>
      </c>
      <c r="AO11" s="81" t="str">
        <f>IF(O11="","#N/A",IF(O11=AF11,"〇","×"))</f>
        <v>#N/A</v>
      </c>
      <c r="AP11" s="80" t="e">
        <f t="shared" si="14"/>
        <v>#N/A</v>
      </c>
      <c r="AQ11" s="80" t="e">
        <f t="shared" si="15"/>
        <v>#N/A</v>
      </c>
      <c r="AR11" s="80" t="e">
        <f t="shared" ref="AR11:AR12" si="20">IF(V11&lt;=AJ11,"〇","×")</f>
        <v>#NUM!</v>
      </c>
      <c r="AS11" s="80" t="e">
        <f t="shared" si="16"/>
        <v>#NUM!</v>
      </c>
      <c r="AT11" s="20" t="e">
        <f t="shared" si="16"/>
        <v>#NUM!</v>
      </c>
      <c r="AU11" s="45" t="e">
        <f t="shared" si="17"/>
        <v>#NUM!</v>
      </c>
    </row>
    <row r="12" spans="1:47" ht="14.25" thickBot="1">
      <c r="B12" s="72"/>
      <c r="C12" s="69" t="e">
        <f t="shared" si="0"/>
        <v>#N/A</v>
      </c>
      <c r="D12" s="70" t="e">
        <f t="shared" si="1"/>
        <v>#N/A</v>
      </c>
      <c r="E12" s="67"/>
      <c r="F12" s="68"/>
      <c r="G12" s="61" t="e">
        <f>VLOOKUP(F12,計算用シート!$A$1:$C$4,3,FALSE)</f>
        <v>#N/A</v>
      </c>
      <c r="H12" s="61" t="e">
        <f t="shared" si="18"/>
        <v>#N/A</v>
      </c>
      <c r="I12" s="62" t="e">
        <f t="shared" si="3"/>
        <v>#N/A</v>
      </c>
      <c r="J12" s="61" t="e">
        <f>IF(H12&lt;(10^3),計算用シート!$A$1,IF(H12&lt;(10^6),計算用シート!$A$2,IF(H12&lt;(10^9),計算用シート!$A$3,IF(H12&gt;=(10^9),計算用シート!$A$4,"エラー"))))</f>
        <v>#N/A</v>
      </c>
      <c r="K12" s="63" t="e">
        <f t="shared" si="19"/>
        <v>#N/A</v>
      </c>
      <c r="L12" s="61" t="e">
        <f>IF(1000&gt;INT(I12)+1,VLOOKUP(J12,計算用シート!$A$1:$B$4,2,FALSE),INDEX(計算用シート!$B$1:$B$4,MATCH(J12,計算用シート!J13:J16,0)+1))</f>
        <v>#N/A</v>
      </c>
      <c r="M12" s="61" t="e">
        <f>IF(ROUNDUP(ROUNDDOWN(ROUNDUP((I12-INT(I12))*100,12),11),0)=0,0,IF(ROUNDUP(ROUNDDOWN(ROUNDUP((I12-INT(I12))*100,12),11),0)&gt;=100,0,IF(ROUNDUP(ROUNDDOWN(ROUNDUP((I12-INT(I12))*100,12),11),0)&lt;10,10,ROUNDUP(ROUNDDOWN(ROUNDUP((I12-INT(I12))*100,12),11),0))))</f>
        <v>#N/A</v>
      </c>
      <c r="N12" s="61" t="e">
        <f t="shared" si="4"/>
        <v>#N/A</v>
      </c>
      <c r="O12" s="14"/>
      <c r="P12" s="14" t="e">
        <f t="shared" si="5"/>
        <v>#N/A</v>
      </c>
      <c r="Q12" s="91"/>
      <c r="R12" s="92" t="e">
        <f>10*LOG(Q12)</f>
        <v>#NUM!</v>
      </c>
      <c r="S12" s="19"/>
      <c r="T12" s="15"/>
      <c r="U12" s="15">
        <f>IF(B12&lt;15000,4000,1000000)</f>
        <v>4000</v>
      </c>
      <c r="V12" s="64" t="e">
        <f t="shared" ref="V12" si="21">R12-S12-10*LOG(U12)</f>
        <v>#NUM!</v>
      </c>
      <c r="W12" s="18" t="e">
        <f>R12-S12+T12</f>
        <v>#NUM!</v>
      </c>
      <c r="X12" s="17" t="e">
        <f t="shared" si="6"/>
        <v>#NUM!</v>
      </c>
      <c r="Y12" s="16"/>
      <c r="Z12" s="75"/>
      <c r="AA12" s="14"/>
      <c r="AB12" s="15" t="str">
        <f t="shared" si="7"/>
        <v/>
      </c>
      <c r="AC12" s="15" t="str">
        <f t="shared" si="8"/>
        <v/>
      </c>
      <c r="AD12" s="15" t="e">
        <f>VLOOKUP(AC12,計算用シート!$B$1:$C$4,2,FALSE)</f>
        <v>#N/A</v>
      </c>
      <c r="AE12" s="15" t="e">
        <f t="shared" si="2"/>
        <v>#VALUE!</v>
      </c>
      <c r="AF12" s="15" t="str">
        <f t="shared" si="9"/>
        <v/>
      </c>
      <c r="AG12" s="94"/>
      <c r="AH12" s="94"/>
      <c r="AI12" s="98"/>
      <c r="AJ12" s="98"/>
      <c r="AK12" s="98"/>
      <c r="AL12" s="99">
        <f>AI12+AK12</f>
        <v>0</v>
      </c>
      <c r="AM12" s="100">
        <f t="shared" si="11"/>
        <v>0</v>
      </c>
      <c r="AN12" s="13" t="e">
        <f t="shared" si="12"/>
        <v>#N/A</v>
      </c>
      <c r="AO12" s="13" t="str">
        <f>IF(O12="","#N/A",IF(O12=AF12,"〇","×"))</f>
        <v>#N/A</v>
      </c>
      <c r="AP12" s="12" t="e">
        <f t="shared" si="14"/>
        <v>#N/A</v>
      </c>
      <c r="AQ12" s="12" t="e">
        <f t="shared" si="15"/>
        <v>#N/A</v>
      </c>
      <c r="AR12" s="12" t="e">
        <f t="shared" si="20"/>
        <v>#NUM!</v>
      </c>
      <c r="AS12" s="12" t="e">
        <f t="shared" si="16"/>
        <v>#NUM!</v>
      </c>
      <c r="AT12" s="11" t="e">
        <f t="shared" si="16"/>
        <v>#NUM!</v>
      </c>
      <c r="AU12" s="45" t="e">
        <f t="shared" si="17"/>
        <v>#NUM!</v>
      </c>
    </row>
    <row r="13" spans="1:47">
      <c r="AI13" s="45"/>
      <c r="AJ13" s="45"/>
      <c r="AK13" s="45"/>
      <c r="AL13" s="45"/>
      <c r="AM13" s="45"/>
    </row>
    <row r="14" spans="1:47">
      <c r="F14" s="76" t="s">
        <v>50</v>
      </c>
    </row>
    <row r="15" spans="1:47" ht="15" thickBot="1">
      <c r="B15" s="51" t="s">
        <v>34</v>
      </c>
      <c r="C15" s="51"/>
      <c r="D15" s="51"/>
      <c r="E15" s="51"/>
      <c r="F15" s="51"/>
      <c r="G15" s="51"/>
      <c r="H15" s="51"/>
      <c r="I15" s="51"/>
      <c r="J15" s="51"/>
      <c r="K15" s="51"/>
      <c r="L15" s="51"/>
      <c r="M15" s="51"/>
      <c r="N15" s="51"/>
      <c r="O15" s="51"/>
      <c r="P15" s="51"/>
      <c r="U15" s="76" t="s">
        <v>46</v>
      </c>
    </row>
    <row r="16" spans="1:47">
      <c r="B16" s="120" t="s">
        <v>33</v>
      </c>
      <c r="C16" s="121"/>
      <c r="D16" s="121"/>
      <c r="E16" s="121"/>
      <c r="F16" s="121"/>
      <c r="G16" s="121"/>
      <c r="H16" s="121"/>
      <c r="I16" s="121"/>
      <c r="J16" s="121"/>
      <c r="K16" s="121"/>
      <c r="L16" s="121"/>
      <c r="M16" s="121"/>
      <c r="N16" s="121"/>
      <c r="O16" s="121"/>
      <c r="P16" s="121"/>
      <c r="Q16" s="121"/>
      <c r="R16" s="121"/>
      <c r="S16" s="121"/>
      <c r="T16" s="121"/>
      <c r="U16" s="121"/>
      <c r="V16" s="121"/>
      <c r="W16" s="121"/>
      <c r="X16" s="121"/>
      <c r="Y16" s="122" t="s">
        <v>72</v>
      </c>
      <c r="Z16" s="121"/>
      <c r="AA16" s="121"/>
      <c r="AB16" s="121"/>
      <c r="AC16" s="121"/>
      <c r="AD16" s="121"/>
      <c r="AE16" s="121"/>
      <c r="AF16" s="121"/>
      <c r="AG16" s="121"/>
      <c r="AH16" s="121"/>
      <c r="AI16" s="121"/>
      <c r="AJ16" s="121"/>
      <c r="AK16" s="121"/>
      <c r="AL16" s="121"/>
      <c r="AM16" s="123"/>
      <c r="AN16" s="121" t="s">
        <v>32</v>
      </c>
      <c r="AO16" s="121"/>
      <c r="AP16" s="121"/>
      <c r="AQ16" s="121"/>
      <c r="AR16" s="121"/>
      <c r="AS16" s="121"/>
      <c r="AT16" s="131"/>
      <c r="AU16" s="45" t="s">
        <v>63</v>
      </c>
    </row>
    <row r="17" spans="2:47">
      <c r="B17" s="50" t="s">
        <v>31</v>
      </c>
      <c r="C17" s="124" t="s">
        <v>51</v>
      </c>
      <c r="D17" s="125"/>
      <c r="E17" s="124" t="s">
        <v>38</v>
      </c>
      <c r="F17" s="127"/>
      <c r="G17" s="54"/>
      <c r="H17" s="117" t="s">
        <v>38</v>
      </c>
      <c r="I17" s="117"/>
      <c r="J17" s="117"/>
      <c r="K17" s="134" t="s">
        <v>41</v>
      </c>
      <c r="L17" s="134"/>
      <c r="M17" s="134"/>
      <c r="N17" s="134"/>
      <c r="O17" s="135" t="s">
        <v>37</v>
      </c>
      <c r="P17" s="135"/>
      <c r="Q17" s="117" t="s">
        <v>30</v>
      </c>
      <c r="R17" s="117"/>
      <c r="S17" s="77" t="s">
        <v>29</v>
      </c>
      <c r="T17" s="77" t="s">
        <v>23</v>
      </c>
      <c r="U17" s="118" t="s">
        <v>66</v>
      </c>
      <c r="V17" s="80" t="s">
        <v>28</v>
      </c>
      <c r="W17" s="80" t="s">
        <v>19</v>
      </c>
      <c r="X17" s="82" t="s">
        <v>27</v>
      </c>
      <c r="Y17" s="130" t="s">
        <v>26</v>
      </c>
      <c r="Z17" s="111" t="s">
        <v>65</v>
      </c>
      <c r="AA17" s="117" t="s">
        <v>22</v>
      </c>
      <c r="AB17" s="136" t="s">
        <v>48</v>
      </c>
      <c r="AC17" s="137"/>
      <c r="AD17" s="137"/>
      <c r="AE17" s="137"/>
      <c r="AF17" s="138"/>
      <c r="AG17" s="117" t="s">
        <v>25</v>
      </c>
      <c r="AH17" s="117"/>
      <c r="AI17" s="77" t="s">
        <v>24</v>
      </c>
      <c r="AJ17" s="77" t="s">
        <v>20</v>
      </c>
      <c r="AK17" s="77" t="s">
        <v>23</v>
      </c>
      <c r="AL17" s="77" t="s">
        <v>19</v>
      </c>
      <c r="AM17" s="28" t="s">
        <v>18</v>
      </c>
      <c r="AN17" s="126" t="s">
        <v>22</v>
      </c>
      <c r="AO17" s="114"/>
      <c r="AP17" s="113" t="s">
        <v>21</v>
      </c>
      <c r="AQ17" s="114"/>
      <c r="AR17" s="115" t="s">
        <v>20</v>
      </c>
      <c r="AS17" s="115" t="s">
        <v>19</v>
      </c>
      <c r="AT17" s="142" t="s">
        <v>18</v>
      </c>
      <c r="AU17" s="139" t="s">
        <v>62</v>
      </c>
    </row>
    <row r="18" spans="2:47">
      <c r="B18" s="50" t="s">
        <v>17</v>
      </c>
      <c r="C18" s="78" t="s">
        <v>11</v>
      </c>
      <c r="D18" s="78" t="s">
        <v>10</v>
      </c>
      <c r="E18" s="128"/>
      <c r="F18" s="129"/>
      <c r="G18" s="77" t="s">
        <v>40</v>
      </c>
      <c r="H18" s="83" t="s">
        <v>4</v>
      </c>
      <c r="I18" s="59"/>
      <c r="J18" s="34"/>
      <c r="K18" s="134"/>
      <c r="L18" s="134"/>
      <c r="M18" s="134"/>
      <c r="N18" s="134"/>
      <c r="O18" s="79" t="s">
        <v>47</v>
      </c>
      <c r="P18" s="79" t="s">
        <v>43</v>
      </c>
      <c r="Q18" s="77" t="s">
        <v>16</v>
      </c>
      <c r="R18" s="29" t="s">
        <v>13</v>
      </c>
      <c r="S18" s="77" t="s">
        <v>15</v>
      </c>
      <c r="T18" s="77" t="s">
        <v>14</v>
      </c>
      <c r="U18" s="119"/>
      <c r="V18" s="80" t="s">
        <v>12</v>
      </c>
      <c r="W18" s="80" t="s">
        <v>13</v>
      </c>
      <c r="X18" s="82" t="s">
        <v>12</v>
      </c>
      <c r="Y18" s="130"/>
      <c r="Z18" s="112"/>
      <c r="AA18" s="117"/>
      <c r="AB18" s="113" t="s">
        <v>49</v>
      </c>
      <c r="AC18" s="114"/>
      <c r="AD18" s="77" t="s">
        <v>40</v>
      </c>
      <c r="AE18" s="77" t="s">
        <v>4</v>
      </c>
      <c r="AF18" s="77" t="s">
        <v>52</v>
      </c>
      <c r="AG18" s="77" t="s">
        <v>11</v>
      </c>
      <c r="AH18" s="77" t="s">
        <v>10</v>
      </c>
      <c r="AI18" s="29" t="s">
        <v>13</v>
      </c>
      <c r="AJ18" s="77" t="s">
        <v>12</v>
      </c>
      <c r="AK18" s="77" t="s">
        <v>14</v>
      </c>
      <c r="AL18" s="77" t="s">
        <v>13</v>
      </c>
      <c r="AM18" s="28" t="s">
        <v>12</v>
      </c>
      <c r="AN18" s="81" t="s">
        <v>45</v>
      </c>
      <c r="AO18" s="81" t="s">
        <v>44</v>
      </c>
      <c r="AP18" s="31" t="s">
        <v>11</v>
      </c>
      <c r="AQ18" s="31" t="s">
        <v>10</v>
      </c>
      <c r="AR18" s="116"/>
      <c r="AS18" s="116"/>
      <c r="AT18" s="143"/>
      <c r="AU18" s="139"/>
    </row>
    <row r="19" spans="2:47">
      <c r="B19" s="60">
        <v>145.85499999999999</v>
      </c>
      <c r="C19" s="36">
        <f>(B19*(10^6)-H19/2)*10^-6</f>
        <v>145.84699999999998</v>
      </c>
      <c r="D19" s="65">
        <f>(B19*(10^6)+H19/2)*10^-6</f>
        <v>145.863</v>
      </c>
      <c r="E19" s="66">
        <v>16</v>
      </c>
      <c r="F19" s="37" t="s">
        <v>5</v>
      </c>
      <c r="G19" s="56">
        <f>VLOOKUP(F19,計算用シート!$A$1:$C$4,3,FALSE)</f>
        <v>1000</v>
      </c>
      <c r="H19" s="56">
        <f>E19*G19</f>
        <v>16000</v>
      </c>
      <c r="I19" s="31">
        <f>IF(H19&lt;(10^3),H19,IF(H19&lt;(10^6),H19/(10^3),IF(H19&lt;(10^9),H19/(10^6),IF(H19&gt;=(10^9),H19/(10^9),"エラー"))))</f>
        <v>16</v>
      </c>
      <c r="J19" s="56" t="str">
        <f>IF(H19&lt;(10^3),計算用シート!$A$1,IF(H19&lt;(10^6),計算用シート!$A$2,IF(H19&lt;(10^9),計算用シート!$A$3,IF(H19&gt;=(10^9),計算用シート!$A$4,"エラー"))))</f>
        <v>[kHz]</v>
      </c>
      <c r="K19" s="57">
        <f>IF(100&gt;ROUNDUP(ROUNDDOWN(ROUNDUP((I19-INT(I19))*100,12),11),0),INT(I19),IF(1000&lt;=INT(I19)+1,1,INT(I19)+1))</f>
        <v>16</v>
      </c>
      <c r="L19" s="56" t="str">
        <f>IF(1000&gt;INT(I19)+1,VLOOKUP(J19,計算用シート!$A$1:$B$4,2,FALSE),INDEX(計算用シート!$B$1:$B$4,MATCH(J19,計算用シート!A11:A14,0)+1))</f>
        <v>K</v>
      </c>
      <c r="M19" s="56">
        <f>IF(ROUNDUP(ROUNDDOWN(ROUNDUP((I19-INT(I19))*100,12),11),0)=0,0,IF(ROUNDUP(ROUNDDOWN(ROUNDUP((I19-INT(I19))*100,12),11),0)&gt;=100,0,IF(ROUNDUP(ROUNDDOWN(ROUNDUP((I19-INT(I19))*100,12),11),0)&lt;10,10,ROUNDUP(ROUNDDOWN(ROUNDUP((I19-INT(I19))*100,12),11),0))))</f>
        <v>0</v>
      </c>
      <c r="N19" s="56" t="str">
        <f>K19&amp;L19&amp;M19&amp;0</f>
        <v>16K00</v>
      </c>
      <c r="O19" s="22" t="s">
        <v>60</v>
      </c>
      <c r="P19" s="22" t="str">
        <f>LEFT(N19,4)&amp;O19</f>
        <v>16K0F2D</v>
      </c>
      <c r="Q19" s="88">
        <v>10</v>
      </c>
      <c r="R19" s="89">
        <f>10*LOG(Q19)</f>
        <v>10</v>
      </c>
      <c r="S19" s="90">
        <v>2.1</v>
      </c>
      <c r="T19" s="88">
        <v>1</v>
      </c>
      <c r="U19" s="23">
        <f>IF(B19&lt;15000,4000,1000000)</f>
        <v>4000</v>
      </c>
      <c r="V19" s="35">
        <f>R19-S19-10*LOG(U19)</f>
        <v>-28.120599913279626</v>
      </c>
      <c r="W19" s="26">
        <f>R19-S19+T19</f>
        <v>8.9</v>
      </c>
      <c r="X19" s="25">
        <f>V19+T19</f>
        <v>-27.120599913279626</v>
      </c>
      <c r="Y19" s="24" t="s">
        <v>59</v>
      </c>
      <c r="Z19" s="74">
        <v>1</v>
      </c>
      <c r="AA19" s="22" t="s">
        <v>82</v>
      </c>
      <c r="AB19" s="23" t="str">
        <f>SUBSTITUTE(SUBSTITUTE(SUBSTITUTE(SUBSTITUTE(LEFT(AA19,4),"H","."),"K","."),"M","."),"G",".")</f>
        <v>16.0</v>
      </c>
      <c r="AC19" s="23" t="str">
        <f>SUBSTITUTE(SUBSTITUTE(SUBSTITUTE(SUBSTITUTE(SUBSTITUTE(SUBSTITUTE(SUBSTITUTE(SUBSTITUTE(SUBSTITUTE(SUBSTITUTE(LEFT(AA19,4),"0",""),"1",""),"2",""),"3",""),"4",""),"5",""),"6",""),"7",""),"8",""),"9","")</f>
        <v>K</v>
      </c>
      <c r="AD19" s="23">
        <f>VLOOKUP(AC19,計算用シート!$B$1:$C$4,2,FALSE)</f>
        <v>1000</v>
      </c>
      <c r="AE19" s="23">
        <f>AB19*AD19</f>
        <v>16000</v>
      </c>
      <c r="AF19" s="23" t="str">
        <f>RIGHT(AA19,3)</f>
        <v>F2D</v>
      </c>
      <c r="AG19" s="101">
        <v>145.84299999999999</v>
      </c>
      <c r="AH19" s="22">
        <v>145.87700000000001</v>
      </c>
      <c r="AI19" s="95">
        <v>10</v>
      </c>
      <c r="AJ19" s="95">
        <v>-19</v>
      </c>
      <c r="AK19" s="95">
        <v>1</v>
      </c>
      <c r="AL19" s="96">
        <f>AI19+AK19</f>
        <v>11</v>
      </c>
      <c r="AM19" s="97">
        <f>AJ19+AK19</f>
        <v>-18</v>
      </c>
      <c r="AN19" s="81" t="str">
        <f>IF(H19&lt;=AE19,"〇","×")</f>
        <v>〇</v>
      </c>
      <c r="AO19" s="81" t="str">
        <f>IF(O19="","#N/A",IF(O19=AF19,"〇","×"))</f>
        <v>〇</v>
      </c>
      <c r="AP19" s="80" t="str">
        <f>IF(C19&gt;=AG19,"〇","×")</f>
        <v>〇</v>
      </c>
      <c r="AQ19" s="80" t="str">
        <f>IF(D19&lt;=AH19,"〇","×")</f>
        <v>〇</v>
      </c>
      <c r="AR19" s="80" t="str">
        <f>IF(V19&lt;=AJ19,"〇","×")</f>
        <v>〇</v>
      </c>
      <c r="AS19" s="80" t="str">
        <f>IF(W19&lt;=AL19,"〇","×")</f>
        <v>〇</v>
      </c>
      <c r="AT19" s="20" t="str">
        <f>IF(X19&lt;=AM19,"〇","×")</f>
        <v>〇</v>
      </c>
      <c r="AU19" s="45" t="str">
        <f>IF((R19-S19)&lt;=AI19,"〇","×")</f>
        <v>〇</v>
      </c>
    </row>
    <row r="20" spans="2:47">
      <c r="B20" s="60"/>
      <c r="C20" s="36" t="e">
        <f t="shared" ref="C20:C22" si="22">(B20*(10^6)-H20/2)*10^-6</f>
        <v>#N/A</v>
      </c>
      <c r="D20" s="65" t="e">
        <f t="shared" ref="D20:D22" si="23">(B20*(10^6)+H20/2)*10^-6</f>
        <v>#N/A</v>
      </c>
      <c r="E20" s="66"/>
      <c r="F20" s="37"/>
      <c r="G20" s="56" t="e">
        <f>VLOOKUP(F20,計算用シート!$A$1:$C$4,3,FALSE)</f>
        <v>#N/A</v>
      </c>
      <c r="H20" s="56" t="e">
        <f>E20*G20</f>
        <v>#N/A</v>
      </c>
      <c r="I20" s="31" t="e">
        <f t="shared" ref="I20:I22" si="24">IF(H20&lt;(10^3),H20,IF(H20&lt;(10^6),H20/(10^3),IF(H20&lt;(10^9),H20/(10^6),IF(H20&gt;=(10^9),H20/(10^9),"エラー"))))</f>
        <v>#N/A</v>
      </c>
      <c r="J20" s="56" t="e">
        <f>IF(H20&lt;(10^3),計算用シート!$A$1,IF(H20&lt;(10^6),計算用シート!$A$2,IF(H20&lt;(10^9),計算用シート!$A$3,IF(H20&gt;=(10^9),計算用シート!$A$4,"エラー"))))</f>
        <v>#N/A</v>
      </c>
      <c r="K20" s="57" t="e">
        <f>IF(100&gt;ROUNDUP(ROUNDDOWN(ROUNDUP((I20-INT(I20))*100,12),11),0),INT(I20),IF(1000&lt;=INT(I20)+1,1,INT(I20)+1))</f>
        <v>#N/A</v>
      </c>
      <c r="L20" s="56" t="e">
        <f>IF(1000&gt;INT(I20)+1,VLOOKUP(J20,計算用シート!$A$1:$B$4,2,FALSE),INDEX(計算用シート!$B$1:$B$4,MATCH(J20,計算用シート!J21:J24,0)+1))</f>
        <v>#N/A</v>
      </c>
      <c r="M20" s="56" t="e">
        <f>IF(ROUNDUP(ROUNDDOWN(ROUNDUP((I20-INT(I20))*100,12),11),0)=0,0,IF(ROUNDUP(ROUNDDOWN(ROUNDUP((I20-INT(I20))*100,12),11),0)&gt;=100,0,IF(ROUNDUP(ROUNDDOWN(ROUNDUP((I20-INT(I20))*100,12),11),0)&lt;10,10,ROUNDUP(ROUNDDOWN(ROUNDUP((I20-INT(I20))*100,12),11),0))))</f>
        <v>#N/A</v>
      </c>
      <c r="N20" s="56" t="e">
        <f t="shared" ref="N20:N22" si="25">K20&amp;L20&amp;M20&amp;0</f>
        <v>#N/A</v>
      </c>
      <c r="O20" s="22"/>
      <c r="P20" s="22" t="e">
        <f t="shared" ref="P20:P22" si="26">LEFT(N20,4)&amp;O20</f>
        <v>#N/A</v>
      </c>
      <c r="Q20" s="88"/>
      <c r="R20" s="89" t="e">
        <f>10*LOG(Q20)</f>
        <v>#NUM!</v>
      </c>
      <c r="S20" s="27"/>
      <c r="T20" s="23"/>
      <c r="U20" s="23">
        <f t="shared" ref="U20:U22" si="27">IF(B20&lt;15000,4000,1000000)</f>
        <v>4000</v>
      </c>
      <c r="V20" s="35" t="e">
        <f>R20-S20-10*LOG(U20)</f>
        <v>#NUM!</v>
      </c>
      <c r="W20" s="26" t="e">
        <f>R20-S20+T20</f>
        <v>#NUM!</v>
      </c>
      <c r="X20" s="25" t="e">
        <f t="shared" ref="X20:X22" si="28">V20+T20</f>
        <v>#NUM!</v>
      </c>
      <c r="Y20" s="24"/>
      <c r="Z20" s="74"/>
      <c r="AA20" s="22"/>
      <c r="AB20" s="23" t="str">
        <f t="shared" ref="AB20:AB22" si="29">SUBSTITUTE(SUBSTITUTE(SUBSTITUTE(SUBSTITUTE(LEFT(AA20,4),"H","."),"K","."),"M","."),"G",".")</f>
        <v/>
      </c>
      <c r="AC20" s="23" t="str">
        <f t="shared" ref="AC20:AC22" si="30">SUBSTITUTE(SUBSTITUTE(SUBSTITUTE(SUBSTITUTE(SUBSTITUTE(SUBSTITUTE(SUBSTITUTE(SUBSTITUTE(SUBSTITUTE(SUBSTITUTE(LEFT(AA20,4),"0",""),"1",""),"2",""),"3",""),"4",""),"5",""),"6",""),"7",""),"8",""),"9","")</f>
        <v/>
      </c>
      <c r="AD20" s="23" t="e">
        <f>VLOOKUP(AC20,計算用シート!$B$1:$C$4,2,FALSE)</f>
        <v>#N/A</v>
      </c>
      <c r="AE20" s="23" t="e">
        <f t="shared" ref="AE20:AE22" si="31">AB20*AD20</f>
        <v>#VALUE!</v>
      </c>
      <c r="AF20" s="23" t="str">
        <f t="shared" ref="AF20:AF22" si="32">RIGHT(AA20,3)</f>
        <v/>
      </c>
      <c r="AG20" s="93"/>
      <c r="AH20" s="93"/>
      <c r="AI20" s="95"/>
      <c r="AJ20" s="95"/>
      <c r="AK20" s="95"/>
      <c r="AL20" s="96">
        <f t="shared" ref="AL20:AL22" si="33">AI20+AK20</f>
        <v>0</v>
      </c>
      <c r="AM20" s="97">
        <f t="shared" ref="AM20:AM22" si="34">AJ20+AK20</f>
        <v>0</v>
      </c>
      <c r="AN20" s="81" t="e">
        <f t="shared" ref="AN20:AN22" si="35">IF(H20&lt;=AE20,"〇","×")</f>
        <v>#N/A</v>
      </c>
      <c r="AO20" s="81" t="str">
        <f>IF(O20="","#N/A",IF(O20=AF20,"〇","×"))</f>
        <v>#N/A</v>
      </c>
      <c r="AP20" s="80" t="e">
        <f t="shared" ref="AP20:AP22" si="36">IF(C20&gt;=AG20,"〇","×")</f>
        <v>#N/A</v>
      </c>
      <c r="AQ20" s="80" t="e">
        <f t="shared" ref="AQ20:AQ22" si="37">IF(D20&lt;=AH20,"〇","×")</f>
        <v>#N/A</v>
      </c>
      <c r="AR20" s="80" t="e">
        <f t="shared" ref="AR20:AR22" si="38">IF(V20&lt;=AJ20,"〇","×")</f>
        <v>#NUM!</v>
      </c>
      <c r="AS20" s="80" t="e">
        <f t="shared" ref="AS20:AT22" si="39">IF(W20&lt;=AL20,"〇","×")</f>
        <v>#NUM!</v>
      </c>
      <c r="AT20" s="20" t="e">
        <f t="shared" si="39"/>
        <v>#NUM!</v>
      </c>
      <c r="AU20" s="45" t="e">
        <f t="shared" ref="AU20:AU22" si="40">IF((R20-S20)&lt;=AI20,"〇","×")</f>
        <v>#NUM!</v>
      </c>
    </row>
    <row r="21" spans="2:47">
      <c r="B21" s="60"/>
      <c r="C21" s="36" t="e">
        <f t="shared" si="22"/>
        <v>#N/A</v>
      </c>
      <c r="D21" s="65" t="e">
        <f t="shared" si="23"/>
        <v>#N/A</v>
      </c>
      <c r="E21" s="66"/>
      <c r="F21" s="37"/>
      <c r="G21" s="56" t="e">
        <f>VLOOKUP(F21,計算用シート!$A$1:$C$4,3,FALSE)</f>
        <v>#N/A</v>
      </c>
      <c r="H21" s="56" t="e">
        <f t="shared" ref="H21:H22" si="41">E21*G21</f>
        <v>#N/A</v>
      </c>
      <c r="I21" s="31" t="e">
        <f t="shared" si="24"/>
        <v>#N/A</v>
      </c>
      <c r="J21" s="56" t="e">
        <f>IF(H21&lt;(10^3),計算用シート!$A$1,IF(H21&lt;(10^6),計算用シート!$A$2,IF(H21&lt;(10^9),計算用シート!$A$3,IF(H21&gt;=(10^9),計算用シート!$A$4,"エラー"))))</f>
        <v>#N/A</v>
      </c>
      <c r="K21" s="57" t="e">
        <f t="shared" ref="K21:K22" si="42">IF(100&gt;ROUNDUP(ROUNDDOWN(ROUNDUP((I21-INT(I21))*100,12),11),0),INT(I21),IF(1000&lt;=INT(I21)+1,1,INT(I21)+1))</f>
        <v>#N/A</v>
      </c>
      <c r="L21" s="56" t="e">
        <f>IF(1000&gt;INT(I21)+1,VLOOKUP(J21,計算用シート!$A$1:$B$4,2,FALSE),INDEX(計算用シート!$B$1:$B$4,MATCH(J21,計算用シート!J22:J25,0)+1))</f>
        <v>#N/A</v>
      </c>
      <c r="M21" s="56" t="e">
        <f>IF(ROUNDUP(ROUNDDOWN(ROUNDUP((I21-INT(I21))*100,12),11),0)=0,0,IF(ROUNDUP(ROUNDDOWN(ROUNDUP((I21-INT(I21))*100,12),11),0)&gt;=100,0,IF(ROUNDUP(ROUNDDOWN(ROUNDUP((I21-INT(I21))*100,12),11),0)&lt;10,10,ROUNDUP(ROUNDDOWN(ROUNDUP((I21-INT(I21))*100,12),11),0))))</f>
        <v>#N/A</v>
      </c>
      <c r="N21" s="56" t="e">
        <f t="shared" si="25"/>
        <v>#N/A</v>
      </c>
      <c r="O21" s="22"/>
      <c r="P21" s="22" t="e">
        <f t="shared" si="26"/>
        <v>#N/A</v>
      </c>
      <c r="Q21" s="88"/>
      <c r="R21" s="89" t="e">
        <f>10*LOG(Q21)</f>
        <v>#NUM!</v>
      </c>
      <c r="S21" s="27"/>
      <c r="T21" s="23"/>
      <c r="U21" s="23">
        <f t="shared" si="27"/>
        <v>4000</v>
      </c>
      <c r="V21" s="35" t="e">
        <f>R21-S21-10*LOG(U21)</f>
        <v>#NUM!</v>
      </c>
      <c r="W21" s="26" t="e">
        <f>R21-S21+T21</f>
        <v>#NUM!</v>
      </c>
      <c r="X21" s="25" t="e">
        <f t="shared" si="28"/>
        <v>#NUM!</v>
      </c>
      <c r="Y21" s="24"/>
      <c r="Z21" s="74"/>
      <c r="AA21" s="22"/>
      <c r="AB21" s="23" t="str">
        <f t="shared" si="29"/>
        <v/>
      </c>
      <c r="AC21" s="23" t="str">
        <f t="shared" si="30"/>
        <v/>
      </c>
      <c r="AD21" s="23" t="e">
        <f>VLOOKUP(AC21,計算用シート!$B$1:$C$4,2,FALSE)</f>
        <v>#N/A</v>
      </c>
      <c r="AE21" s="23" t="e">
        <f t="shared" si="31"/>
        <v>#VALUE!</v>
      </c>
      <c r="AF21" s="23" t="str">
        <f t="shared" si="32"/>
        <v/>
      </c>
      <c r="AG21" s="93"/>
      <c r="AH21" s="93"/>
      <c r="AI21" s="95"/>
      <c r="AJ21" s="95"/>
      <c r="AK21" s="95"/>
      <c r="AL21" s="96">
        <f t="shared" si="33"/>
        <v>0</v>
      </c>
      <c r="AM21" s="97">
        <f t="shared" si="34"/>
        <v>0</v>
      </c>
      <c r="AN21" s="81" t="e">
        <f t="shared" si="35"/>
        <v>#N/A</v>
      </c>
      <c r="AO21" s="81" t="str">
        <f>IF(O21="","#N/A",IF(O21=AF21,"〇","×"))</f>
        <v>#N/A</v>
      </c>
      <c r="AP21" s="80" t="e">
        <f t="shared" si="36"/>
        <v>#N/A</v>
      </c>
      <c r="AQ21" s="80" t="e">
        <f t="shared" si="37"/>
        <v>#N/A</v>
      </c>
      <c r="AR21" s="80" t="e">
        <f t="shared" si="38"/>
        <v>#NUM!</v>
      </c>
      <c r="AS21" s="80" t="e">
        <f t="shared" si="39"/>
        <v>#NUM!</v>
      </c>
      <c r="AT21" s="20" t="e">
        <f t="shared" si="39"/>
        <v>#NUM!</v>
      </c>
      <c r="AU21" s="45" t="e">
        <f t="shared" si="40"/>
        <v>#NUM!</v>
      </c>
    </row>
    <row r="22" spans="2:47" ht="14.25" thickBot="1">
      <c r="B22" s="72"/>
      <c r="C22" s="69" t="e">
        <f t="shared" si="22"/>
        <v>#N/A</v>
      </c>
      <c r="D22" s="70" t="e">
        <f t="shared" si="23"/>
        <v>#N/A</v>
      </c>
      <c r="E22" s="67"/>
      <c r="F22" s="68"/>
      <c r="G22" s="61" t="e">
        <f>VLOOKUP(F22,計算用シート!$A$1:$C$4,3,FALSE)</f>
        <v>#N/A</v>
      </c>
      <c r="H22" s="61" t="e">
        <f t="shared" si="41"/>
        <v>#N/A</v>
      </c>
      <c r="I22" s="62" t="e">
        <f t="shared" si="24"/>
        <v>#N/A</v>
      </c>
      <c r="J22" s="61" t="e">
        <f>IF(H22&lt;(10^3),計算用シート!$A$1,IF(H22&lt;(10^6),計算用シート!$A$2,IF(H22&lt;(10^9),計算用シート!$A$3,IF(H22&gt;=(10^9),計算用シート!$A$4,"エラー"))))</f>
        <v>#N/A</v>
      </c>
      <c r="K22" s="63" t="e">
        <f t="shared" si="42"/>
        <v>#N/A</v>
      </c>
      <c r="L22" s="61" t="e">
        <f>IF(1000&gt;INT(I22)+1,VLOOKUP(J22,計算用シート!$A$1:$B$4,2,FALSE),INDEX(計算用シート!$B$1:$B$4,MATCH(J22,計算用シート!J23:J26,0)+1))</f>
        <v>#N/A</v>
      </c>
      <c r="M22" s="61" t="e">
        <f>IF(ROUNDUP(ROUNDDOWN(ROUNDUP((I22-INT(I22))*100,12),11),0)=0,0,IF(ROUNDUP(ROUNDDOWN(ROUNDUP((I22-INT(I22))*100,12),11),0)&gt;=100,0,IF(ROUNDUP(ROUNDDOWN(ROUNDUP((I22-INT(I22))*100,12),11),0)&lt;10,10,ROUNDUP(ROUNDDOWN(ROUNDUP((I22-INT(I22))*100,12),11),0))))</f>
        <v>#N/A</v>
      </c>
      <c r="N22" s="61" t="e">
        <f t="shared" si="25"/>
        <v>#N/A</v>
      </c>
      <c r="O22" s="14"/>
      <c r="P22" s="14" t="e">
        <f t="shared" si="26"/>
        <v>#N/A</v>
      </c>
      <c r="Q22" s="91"/>
      <c r="R22" s="92" t="e">
        <f>10*LOG(Q22)</f>
        <v>#NUM!</v>
      </c>
      <c r="S22" s="19"/>
      <c r="T22" s="15"/>
      <c r="U22" s="15">
        <f t="shared" si="27"/>
        <v>4000</v>
      </c>
      <c r="V22" s="64" t="e">
        <f t="shared" ref="V22" si="43">R22-S22-10*LOG(U22)</f>
        <v>#NUM!</v>
      </c>
      <c r="W22" s="18" t="e">
        <f>R22-S22+T22</f>
        <v>#NUM!</v>
      </c>
      <c r="X22" s="17" t="e">
        <f t="shared" si="28"/>
        <v>#NUM!</v>
      </c>
      <c r="Y22" s="16"/>
      <c r="Z22" s="75"/>
      <c r="AA22" s="14"/>
      <c r="AB22" s="15" t="str">
        <f t="shared" si="29"/>
        <v/>
      </c>
      <c r="AC22" s="15" t="str">
        <f t="shared" si="30"/>
        <v/>
      </c>
      <c r="AD22" s="15" t="e">
        <f>VLOOKUP(AC22,計算用シート!$B$1:$C$4,2,FALSE)</f>
        <v>#N/A</v>
      </c>
      <c r="AE22" s="15" t="e">
        <f t="shared" si="31"/>
        <v>#VALUE!</v>
      </c>
      <c r="AF22" s="15" t="str">
        <f t="shared" si="32"/>
        <v/>
      </c>
      <c r="AG22" s="94"/>
      <c r="AH22" s="94"/>
      <c r="AI22" s="98"/>
      <c r="AJ22" s="98"/>
      <c r="AK22" s="98"/>
      <c r="AL22" s="99">
        <f t="shared" si="33"/>
        <v>0</v>
      </c>
      <c r="AM22" s="100">
        <f t="shared" si="34"/>
        <v>0</v>
      </c>
      <c r="AN22" s="13" t="e">
        <f t="shared" si="35"/>
        <v>#N/A</v>
      </c>
      <c r="AO22" s="13" t="str">
        <f>IF(O22="","#N/A",IF(O22=AF22,"〇","×"))</f>
        <v>#N/A</v>
      </c>
      <c r="AP22" s="12" t="e">
        <f t="shared" si="36"/>
        <v>#N/A</v>
      </c>
      <c r="AQ22" s="12" t="e">
        <f t="shared" si="37"/>
        <v>#N/A</v>
      </c>
      <c r="AR22" s="12" t="e">
        <f t="shared" si="38"/>
        <v>#NUM!</v>
      </c>
      <c r="AS22" s="12" t="e">
        <f t="shared" si="39"/>
        <v>#NUM!</v>
      </c>
      <c r="AT22" s="11" t="e">
        <f t="shared" si="39"/>
        <v>#NUM!</v>
      </c>
      <c r="AU22" s="45" t="e">
        <f t="shared" si="40"/>
        <v>#NUM!</v>
      </c>
    </row>
    <row r="26" spans="2:47">
      <c r="B26" s="76" t="s">
        <v>9</v>
      </c>
      <c r="Q26" s="76"/>
      <c r="R26" s="76"/>
    </row>
    <row r="27" spans="2:47">
      <c r="B27" s="76" t="s">
        <v>68</v>
      </c>
      <c r="Q27" s="76"/>
      <c r="R27" s="76"/>
    </row>
    <row r="28" spans="2:47">
      <c r="B28" s="76" t="s">
        <v>69</v>
      </c>
      <c r="Q28" s="76"/>
      <c r="R28" s="76"/>
    </row>
    <row r="29" spans="2:47">
      <c r="B29" s="76" t="s">
        <v>80</v>
      </c>
      <c r="Q29" s="76"/>
      <c r="R29" s="76"/>
    </row>
    <row r="30" spans="2:47">
      <c r="B30" s="76" t="s">
        <v>78</v>
      </c>
      <c r="Q30" s="76"/>
      <c r="R30" s="76"/>
    </row>
    <row r="31" spans="2:47">
      <c r="B31" s="76" t="s">
        <v>79</v>
      </c>
      <c r="Q31" s="76"/>
      <c r="R31" s="76"/>
    </row>
    <row r="32" spans="2:47">
      <c r="Q32" s="76"/>
      <c r="R32" s="76"/>
    </row>
    <row r="33" spans="2:46">
      <c r="B33" s="76" t="s">
        <v>73</v>
      </c>
      <c r="Q33" s="76"/>
      <c r="R33" s="76"/>
    </row>
    <row r="34" spans="2:46">
      <c r="B34" s="76" t="s">
        <v>74</v>
      </c>
      <c r="Q34" s="76"/>
      <c r="R34" s="76"/>
    </row>
    <row r="35" spans="2:46">
      <c r="B35" s="76" t="s">
        <v>75</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row>
    <row r="36" spans="2:46">
      <c r="B36" s="76" t="s">
        <v>76</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row>
    <row r="37" spans="2:46">
      <c r="B37" s="32" t="s">
        <v>70</v>
      </c>
    </row>
    <row r="38" spans="2:46">
      <c r="B38" s="32" t="s">
        <v>67</v>
      </c>
    </row>
    <row r="39" spans="2:46">
      <c r="B39" s="76" t="s">
        <v>77</v>
      </c>
    </row>
  </sheetData>
  <mergeCells count="47">
    <mergeCell ref="AP17:AQ17"/>
    <mergeCell ref="AR17:AR18"/>
    <mergeCell ref="AS17:AS18"/>
    <mergeCell ref="AT17:AT18"/>
    <mergeCell ref="AU17:AU18"/>
    <mergeCell ref="AB18:AC18"/>
    <mergeCell ref="C17:D17"/>
    <mergeCell ref="E17:F18"/>
    <mergeCell ref="H17:J17"/>
    <mergeCell ref="K17:N18"/>
    <mergeCell ref="O17:P17"/>
    <mergeCell ref="Q17:R17"/>
    <mergeCell ref="U17:U18"/>
    <mergeCell ref="Y17:Y18"/>
    <mergeCell ref="Z17:Z18"/>
    <mergeCell ref="Y6:AM6"/>
    <mergeCell ref="AN6:AT6"/>
    <mergeCell ref="AU7:AU8"/>
    <mergeCell ref="Q7:R7"/>
    <mergeCell ref="U7:U8"/>
    <mergeCell ref="Y7:Y8"/>
    <mergeCell ref="Z7:Z8"/>
    <mergeCell ref="AA7:AA8"/>
    <mergeCell ref="AB7:AF7"/>
    <mergeCell ref="AB8:AC8"/>
    <mergeCell ref="AG7:AH7"/>
    <mergeCell ref="AN7:AO7"/>
    <mergeCell ref="AP7:AQ7"/>
    <mergeCell ref="AR7:AR8"/>
    <mergeCell ref="AS7:AS8"/>
    <mergeCell ref="AT7:AT8"/>
    <mergeCell ref="A1:B1"/>
    <mergeCell ref="B16:X16"/>
    <mergeCell ref="Y16:AM16"/>
    <mergeCell ref="AN16:AT16"/>
    <mergeCell ref="AA17:AA18"/>
    <mergeCell ref="AB17:AF17"/>
    <mergeCell ref="AG17:AH17"/>
    <mergeCell ref="AN17:AO17"/>
    <mergeCell ref="C7:D7"/>
    <mergeCell ref="E7:F8"/>
    <mergeCell ref="H7:J7"/>
    <mergeCell ref="K7:N8"/>
    <mergeCell ref="O7:P7"/>
    <mergeCell ref="B2:E2"/>
    <mergeCell ref="G2:Z2"/>
    <mergeCell ref="B6:X6"/>
  </mergeCells>
  <phoneticPr fontId="1"/>
  <conditionalFormatting sqref="AN9:AT12">
    <cfRule type="cellIs" dxfId="35" priority="33" operator="equal">
      <formula>"×"</formula>
    </cfRule>
  </conditionalFormatting>
  <conditionalFormatting sqref="E20:E22 G19:H22 Y20:AA22 AG20:AM22 J20:Q22 J19:N19 P19 Z19:AA19 AL19:AM19">
    <cfRule type="cellIs" dxfId="34" priority="29" operator="equal">
      <formula>""</formula>
    </cfRule>
  </conditionalFormatting>
  <conditionalFormatting sqref="S20:U22 U19">
    <cfRule type="cellIs" dxfId="33" priority="28" operator="equal">
      <formula>""</formula>
    </cfRule>
  </conditionalFormatting>
  <conditionalFormatting sqref="E11:E12 G9:H12 J11:P12 J9:N10 P9:P10">
    <cfRule type="cellIs" dxfId="32" priority="36" operator="equal">
      <formula>"Excel"</formula>
    </cfRule>
  </conditionalFormatting>
  <conditionalFormatting sqref="E11:E12 G9:H12 Y11:AA12 AG11:AM12 J11:Q12 J9:N10 P9:Q10 Z9:Z10 AL9:AM10">
    <cfRule type="cellIs" dxfId="31" priority="35" operator="equal">
      <formula>""</formula>
    </cfRule>
  </conditionalFormatting>
  <conditionalFormatting sqref="S11:U12 U9:U10">
    <cfRule type="cellIs" dxfId="30" priority="34" operator="equal">
      <formula>""</formula>
    </cfRule>
  </conditionalFormatting>
  <conditionalFormatting sqref="B11:B12">
    <cfRule type="cellIs" dxfId="29" priority="32" operator="equal">
      <formula>""</formula>
    </cfRule>
  </conditionalFormatting>
  <conditionalFormatting sqref="F11:F12">
    <cfRule type="containsBlanks" dxfId="28" priority="31">
      <formula>LEN(TRIM(F11))=0</formula>
    </cfRule>
  </conditionalFormatting>
  <conditionalFormatting sqref="E20:E22 G19:H22 J20:P22 J19:N19 P19">
    <cfRule type="cellIs" dxfId="27" priority="30" operator="equal">
      <formula>"Excel"</formula>
    </cfRule>
  </conditionalFormatting>
  <conditionalFormatting sqref="AN19:AN22 AP19:AT22">
    <cfRule type="cellIs" dxfId="26" priority="27" operator="equal">
      <formula>"×"</formula>
    </cfRule>
  </conditionalFormatting>
  <conditionalFormatting sqref="B20:B22">
    <cfRule type="cellIs" dxfId="25" priority="26" operator="equal">
      <formula>""</formula>
    </cfRule>
  </conditionalFormatting>
  <conditionalFormatting sqref="F20:F22">
    <cfRule type="containsBlanks" dxfId="24" priority="25">
      <formula>LEN(TRIM(F20))=0</formula>
    </cfRule>
  </conditionalFormatting>
  <conditionalFormatting sqref="G2">
    <cfRule type="cellIs" dxfId="23" priority="24" operator="equal">
      <formula>"ITUファイリングとの比較（○○○○；API/○/xxxxx ；IFICxxxx；提出日20xx年xx月xx日；公開日20xx年xx月xx日)"</formula>
    </cfRule>
  </conditionalFormatting>
  <conditionalFormatting sqref="AO19:AO22">
    <cfRule type="cellIs" dxfId="22" priority="23" operator="equal">
      <formula>"×"</formula>
    </cfRule>
  </conditionalFormatting>
  <conditionalFormatting sqref="B9:B10">
    <cfRule type="cellIs" dxfId="21" priority="22" operator="equal">
      <formula>""</formula>
    </cfRule>
  </conditionalFormatting>
  <conditionalFormatting sqref="E9:E10">
    <cfRule type="cellIs" dxfId="20" priority="21" operator="equal">
      <formula>"Excel"</formula>
    </cfRule>
  </conditionalFormatting>
  <conditionalFormatting sqref="E9:E10">
    <cfRule type="cellIs" dxfId="19" priority="20" operator="equal">
      <formula>""</formula>
    </cfRule>
  </conditionalFormatting>
  <conditionalFormatting sqref="F9:F10">
    <cfRule type="containsBlanks" dxfId="18" priority="19">
      <formula>LEN(TRIM(F9))=0</formula>
    </cfRule>
  </conditionalFormatting>
  <conditionalFormatting sqref="O9:O10">
    <cfRule type="cellIs" dxfId="17" priority="18" operator="equal">
      <formula>"Excel"</formula>
    </cfRule>
  </conditionalFormatting>
  <conditionalFormatting sqref="O9:O10">
    <cfRule type="cellIs" dxfId="16" priority="17" operator="equal">
      <formula>""</formula>
    </cfRule>
  </conditionalFormatting>
  <conditionalFormatting sqref="S9:T10">
    <cfRule type="cellIs" dxfId="15" priority="16" operator="equal">
      <formula>""</formula>
    </cfRule>
  </conditionalFormatting>
  <conditionalFormatting sqref="B19">
    <cfRule type="cellIs" dxfId="14" priority="15" operator="equal">
      <formula>""</formula>
    </cfRule>
  </conditionalFormatting>
  <conditionalFormatting sqref="E19">
    <cfRule type="cellIs" dxfId="13" priority="14" operator="equal">
      <formula>"Excel"</formula>
    </cfRule>
  </conditionalFormatting>
  <conditionalFormatting sqref="E19">
    <cfRule type="cellIs" dxfId="12" priority="13" operator="equal">
      <formula>""</formula>
    </cfRule>
  </conditionalFormatting>
  <conditionalFormatting sqref="F19">
    <cfRule type="containsBlanks" dxfId="11" priority="12">
      <formula>LEN(TRIM(F19))=0</formula>
    </cfRule>
  </conditionalFormatting>
  <conditionalFormatting sqref="O19">
    <cfRule type="cellIs" dxfId="10" priority="11" operator="equal">
      <formula>"Excel"</formula>
    </cfRule>
  </conditionalFormatting>
  <conditionalFormatting sqref="O19">
    <cfRule type="cellIs" dxfId="9" priority="10" operator="equal">
      <formula>""</formula>
    </cfRule>
  </conditionalFormatting>
  <conditionalFormatting sqref="Q19">
    <cfRule type="cellIs" dxfId="8" priority="9" operator="equal">
      <formula>""</formula>
    </cfRule>
  </conditionalFormatting>
  <conditionalFormatting sqref="S19:T19">
    <cfRule type="cellIs" dxfId="7" priority="8" operator="equal">
      <formula>""</formula>
    </cfRule>
  </conditionalFormatting>
  <conditionalFormatting sqref="Y9:Y10">
    <cfRule type="cellIs" dxfId="6" priority="7" operator="equal">
      <formula>""</formula>
    </cfRule>
  </conditionalFormatting>
  <conditionalFormatting sqref="Y19">
    <cfRule type="cellIs" dxfId="5" priority="6" operator="equal">
      <formula>""</formula>
    </cfRule>
  </conditionalFormatting>
  <conditionalFormatting sqref="AG9:AH10">
    <cfRule type="cellIs" dxfId="4" priority="5" operator="equal">
      <formula>""</formula>
    </cfRule>
  </conditionalFormatting>
  <conditionalFormatting sqref="AA9:AA10">
    <cfRule type="cellIs" dxfId="3" priority="4" operator="equal">
      <formula>""</formula>
    </cfRule>
  </conditionalFormatting>
  <conditionalFormatting sqref="AI9:AK10">
    <cfRule type="cellIs" dxfId="2" priority="3" operator="equal">
      <formula>""</formula>
    </cfRule>
  </conditionalFormatting>
  <conditionalFormatting sqref="AG19:AH19">
    <cfRule type="cellIs" dxfId="1" priority="2" operator="equal">
      <formula>""</formula>
    </cfRule>
  </conditionalFormatting>
  <conditionalFormatting sqref="AI19:AK19">
    <cfRule type="cellIs" dxfId="0" priority="1" operator="equal">
      <formula>""</formula>
    </cfRule>
  </conditionalFormatting>
  <dataValidations count="1">
    <dataValidation allowBlank="1" showDropDown="1" showInputMessage="1" showErrorMessage="1" sqref="Y3:Z7 AL8:AM8 Q17:T22 Q3:X3 Y9:Z17 Q23:X25 C9:D12 Q43:Z1048576 C7 AI8:AJ8 Q7:T15 B7:B12 V7:X15 U7 U15 U19:U22 AL18:AM18 U9:U12 C17 AI18:AJ18 C19:D22 B17:B22 V17:X22 U17 Y19:Z25"/>
  </dataValidations>
  <pageMargins left="0.25" right="0.25" top="0.75" bottom="0.75" header="0.3" footer="0.3"/>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計算用シート!$A$1:$A$4</xm:f>
          </x14:formula1>
          <xm:sqref>F9:F12 F19:F22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zoomScaleNormal="100" workbookViewId="0">
      <selection activeCell="C4" sqref="C4"/>
    </sheetView>
  </sheetViews>
  <sheetFormatPr defaultRowHeight="18.75"/>
  <cols>
    <col min="1" max="1" width="7" bestFit="1" customWidth="1"/>
    <col min="2" max="2" width="3.25" bestFit="1" customWidth="1"/>
    <col min="3" max="3" width="11.625" bestFit="1" customWidth="1"/>
    <col min="9" max="9" width="11.625" bestFit="1" customWidth="1"/>
    <col min="11" max="11" width="15.25" customWidth="1"/>
    <col min="12" max="12" width="4.5" bestFit="1" customWidth="1"/>
    <col min="13" max="13" width="2.125" customWidth="1"/>
    <col min="14" max="14" width="2.625" customWidth="1"/>
    <col min="15" max="15" width="5" bestFit="1" customWidth="1"/>
    <col min="16" max="16" width="7.75" bestFit="1" customWidth="1"/>
    <col min="18" max="19" width="11.625" bestFit="1" customWidth="1"/>
  </cols>
  <sheetData>
    <row r="1" spans="1:19">
      <c r="A1" t="s">
        <v>4</v>
      </c>
      <c r="B1" t="s">
        <v>0</v>
      </c>
      <c r="C1">
        <v>1</v>
      </c>
    </row>
    <row r="2" spans="1:19">
      <c r="A2" t="s">
        <v>6</v>
      </c>
      <c r="B2" t="s">
        <v>1</v>
      </c>
      <c r="C2">
        <f>10^3</f>
        <v>1000</v>
      </c>
    </row>
    <row r="3" spans="1:19">
      <c r="A3" t="s">
        <v>7</v>
      </c>
      <c r="B3" t="s">
        <v>2</v>
      </c>
      <c r="C3">
        <f>10^6</f>
        <v>1000000</v>
      </c>
      <c r="N3" s="5"/>
      <c r="P3" s="6"/>
      <c r="S3" s="2"/>
    </row>
    <row r="4" spans="1:19">
      <c r="A4" t="s">
        <v>8</v>
      </c>
      <c r="B4" t="s">
        <v>3</v>
      </c>
      <c r="C4">
        <f>10^9</f>
        <v>1000000000</v>
      </c>
      <c r="N4" s="5"/>
      <c r="P4" s="4"/>
      <c r="S4" s="2"/>
    </row>
    <row r="5" spans="1:19">
      <c r="A5" s="2"/>
      <c r="B5" s="1"/>
      <c r="P5" s="4"/>
      <c r="S5" s="2"/>
    </row>
    <row r="6" spans="1:19">
      <c r="A6" s="2"/>
      <c r="B6" s="1"/>
      <c r="N6" s="2"/>
      <c r="P6" s="4"/>
      <c r="S6" s="2"/>
    </row>
    <row r="7" spans="1:19">
      <c r="A7" s="2"/>
      <c r="B7" s="1"/>
      <c r="P7" s="4"/>
      <c r="S7" s="2"/>
    </row>
    <row r="8" spans="1:19">
      <c r="A8" s="2"/>
      <c r="B8" s="1"/>
    </row>
    <row r="10" spans="1:19">
      <c r="B10" s="3"/>
    </row>
    <row r="14" spans="1:19">
      <c r="C14" s="4"/>
    </row>
  </sheetData>
  <phoneticPr fontId="1"/>
  <dataValidations count="2">
    <dataValidation type="list" allowBlank="1" showInputMessage="1" showErrorMessage="1" sqref="B5:B8">
      <formula1>$G$4:$G$7</formula1>
    </dataValidation>
    <dataValidation type="list" allowBlank="1" showInputMessage="1" showErrorMessage="1" sqref="M3:M7">
      <formula1>$H$4:$H$7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国際調整値比較表</vt:lpstr>
      <vt:lpstr>記入例</vt:lpstr>
      <vt:lpstr>計算用シート</vt:lpstr>
      <vt:lpstr>記入例!Print_Area</vt:lpstr>
      <vt:lpstr>国際調整値比較表!Print_Area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2023-06-21T07:40:08Z</dcterms:created>
  <dcterms:modified xsi:type="dcterms:W3CDTF">2023-06-21T07:40:34Z</dcterms:modified>
</cp:coreProperties>
</file>